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8835" tabRatio="887" activeTab="5"/>
  </bookViews>
  <sheets>
    <sheet name="ворота откатка без автоматики" sheetId="4" r:id="rId1"/>
    <sheet name="ворота распашка с разной себест" sheetId="5" r:id="rId2"/>
    <sheet name="Штакетник 09,03,2015" sheetId="7" r:id="rId3"/>
    <sheet name="рассчет" sheetId="1" state="hidden" r:id="rId4"/>
    <sheet name="Лист2" sheetId="2" state="hidden" r:id="rId5"/>
    <sheet name="КАРКАС" sheetId="8" r:id="rId6"/>
  </sheets>
  <definedNames>
    <definedName name="_xlnm.Print_Area" localSheetId="0">'ворота откатка без автоматики'!$A$1:$K$94</definedName>
    <definedName name="_xlnm.Print_Area" localSheetId="1">'ворота распашка с разной себест'!$A$1:$M$114</definedName>
    <definedName name="_xlnm.Print_Area" localSheetId="2">'Штакетник 09,03,2015'!$A$1:$J$118</definedName>
  </definedNames>
  <calcPr calcId="124519"/>
</workbook>
</file>

<file path=xl/calcChain.xml><?xml version="1.0" encoding="utf-8"?>
<calcChain xmlns="http://schemas.openxmlformats.org/spreadsheetml/2006/main">
  <c r="AA325" i="1"/>
  <c r="AB325" s="1"/>
  <c r="U325"/>
  <c r="V325" s="1"/>
  <c r="O325"/>
  <c r="P325" s="1"/>
  <c r="C325"/>
  <c r="D325" s="1"/>
  <c r="I325"/>
  <c r="J325" s="1"/>
  <c r="AA324"/>
  <c r="AB324" s="1"/>
  <c r="U324"/>
  <c r="V324" s="1"/>
  <c r="O324"/>
  <c r="P324" s="1"/>
  <c r="I324"/>
  <c r="J324" s="1"/>
  <c r="C324"/>
  <c r="D324" s="1"/>
  <c r="AB321"/>
  <c r="V321"/>
  <c r="P321"/>
  <c r="J321"/>
  <c r="D321"/>
  <c r="AB320"/>
  <c r="V320"/>
  <c r="P320"/>
  <c r="J320"/>
  <c r="D320"/>
  <c r="AB319"/>
  <c r="V319"/>
  <c r="P319"/>
  <c r="J319"/>
  <c r="D319"/>
  <c r="AB318"/>
  <c r="V318"/>
  <c r="P318"/>
  <c r="J318"/>
  <c r="D318"/>
  <c r="AB317"/>
  <c r="V317"/>
  <c r="P317"/>
  <c r="J317"/>
  <c r="D317"/>
  <c r="AB316"/>
  <c r="V316"/>
  <c r="P316"/>
  <c r="J316"/>
  <c r="D316"/>
  <c r="AA283"/>
  <c r="AB283" s="1"/>
  <c r="U283"/>
  <c r="V283" s="1"/>
  <c r="O283"/>
  <c r="P283" s="1"/>
  <c r="I283"/>
  <c r="J283" s="1"/>
  <c r="C283"/>
  <c r="D283" s="1"/>
  <c r="AA282"/>
  <c r="AB282" s="1"/>
  <c r="U282"/>
  <c r="V282" s="1"/>
  <c r="O282"/>
  <c r="P282" s="1"/>
  <c r="I282"/>
  <c r="J282" s="1"/>
  <c r="C282"/>
  <c r="D282" s="1"/>
  <c r="AB279"/>
  <c r="V279"/>
  <c r="P279"/>
  <c r="J279"/>
  <c r="D279"/>
  <c r="AB278"/>
  <c r="V278"/>
  <c r="P278"/>
  <c r="J278"/>
  <c r="D278"/>
  <c r="AB277"/>
  <c r="V277"/>
  <c r="P277"/>
  <c r="J277"/>
  <c r="D277"/>
  <c r="AB276"/>
  <c r="V276"/>
  <c r="P276"/>
  <c r="J276"/>
  <c r="D276"/>
  <c r="AB275"/>
  <c r="V275"/>
  <c r="P275"/>
  <c r="J275"/>
  <c r="D275"/>
  <c r="AB274"/>
  <c r="V274"/>
  <c r="P274"/>
  <c r="J274"/>
  <c r="D274"/>
  <c r="AA242"/>
  <c r="AB242" s="1"/>
  <c r="U242"/>
  <c r="V242" s="1"/>
  <c r="O242"/>
  <c r="P242" s="1"/>
  <c r="I242"/>
  <c r="J242" s="1"/>
  <c r="C242"/>
  <c r="D242" s="1"/>
  <c r="AA241"/>
  <c r="AB241" s="1"/>
  <c r="U241"/>
  <c r="V241" s="1"/>
  <c r="O241"/>
  <c r="P241" s="1"/>
  <c r="I241"/>
  <c r="J241" s="1"/>
  <c r="C241"/>
  <c r="D241" s="1"/>
  <c r="AB238"/>
  <c r="V238"/>
  <c r="P238"/>
  <c r="J238"/>
  <c r="D238"/>
  <c r="AB237"/>
  <c r="V237"/>
  <c r="P237"/>
  <c r="J237"/>
  <c r="D237"/>
  <c r="AB236"/>
  <c r="V236"/>
  <c r="P236"/>
  <c r="J236"/>
  <c r="D236"/>
  <c r="AB235"/>
  <c r="V235"/>
  <c r="P235"/>
  <c r="J235"/>
  <c r="D235"/>
  <c r="AB234"/>
  <c r="V234"/>
  <c r="P234"/>
  <c r="J234"/>
  <c r="D234"/>
  <c r="AB233"/>
  <c r="V233"/>
  <c r="P233"/>
  <c r="J233"/>
  <c r="D233"/>
  <c r="AA155"/>
  <c r="AB155" s="1"/>
  <c r="U155"/>
  <c r="V155" s="1"/>
  <c r="O155"/>
  <c r="P155" s="1"/>
  <c r="I155"/>
  <c r="J155" s="1"/>
  <c r="C155"/>
  <c r="D155" s="1"/>
  <c r="AA154"/>
  <c r="AB154" s="1"/>
  <c r="U154"/>
  <c r="V154" s="1"/>
  <c r="O154"/>
  <c r="P154" s="1"/>
  <c r="I154"/>
  <c r="J154" s="1"/>
  <c r="C154"/>
  <c r="D154" s="1"/>
  <c r="AB151"/>
  <c r="V151"/>
  <c r="P151"/>
  <c r="J151"/>
  <c r="D151"/>
  <c r="AB150"/>
  <c r="V150"/>
  <c r="P150"/>
  <c r="J150"/>
  <c r="D150"/>
  <c r="AB149"/>
  <c r="V149"/>
  <c r="P149"/>
  <c r="J149"/>
  <c r="D149"/>
  <c r="AB148"/>
  <c r="V148"/>
  <c r="P148"/>
  <c r="J148"/>
  <c r="D148"/>
  <c r="AB147"/>
  <c r="V147"/>
  <c r="P147"/>
  <c r="J147"/>
  <c r="D147"/>
  <c r="AB146"/>
  <c r="V146"/>
  <c r="P146"/>
  <c r="J146"/>
  <c r="D146"/>
  <c r="AA199"/>
  <c r="U199"/>
  <c r="U178"/>
  <c r="AA178"/>
  <c r="AA134"/>
  <c r="U134"/>
  <c r="AA366"/>
  <c r="AB366" s="1"/>
  <c r="U366"/>
  <c r="V366" s="1"/>
  <c r="O366"/>
  <c r="P366"/>
  <c r="I366"/>
  <c r="J366"/>
  <c r="C366"/>
  <c r="D366"/>
  <c r="AA365"/>
  <c r="AB365" s="1"/>
  <c r="U365"/>
  <c r="V365" s="1"/>
  <c r="O365"/>
  <c r="P365" s="1"/>
  <c r="I365"/>
  <c r="J365" s="1"/>
  <c r="C365"/>
  <c r="D365" s="1"/>
  <c r="AB362"/>
  <c r="V362"/>
  <c r="P362"/>
  <c r="J362"/>
  <c r="D362"/>
  <c r="AB361"/>
  <c r="V361"/>
  <c r="P361"/>
  <c r="J361"/>
  <c r="D361"/>
  <c r="AB360"/>
  <c r="V360"/>
  <c r="P360"/>
  <c r="J360"/>
  <c r="D360"/>
  <c r="AB359"/>
  <c r="V359"/>
  <c r="P359"/>
  <c r="J359"/>
  <c r="D359"/>
  <c r="AB358"/>
  <c r="V358"/>
  <c r="P358"/>
  <c r="J358"/>
  <c r="D358"/>
  <c r="AB357"/>
  <c r="V357"/>
  <c r="P357"/>
  <c r="J357"/>
  <c r="D357"/>
  <c r="AA346"/>
  <c r="AB346" s="1"/>
  <c r="U346"/>
  <c r="V346" s="1"/>
  <c r="O346"/>
  <c r="P346" s="1"/>
  <c r="I346"/>
  <c r="J346" s="1"/>
  <c r="C346"/>
  <c r="D346" s="1"/>
  <c r="AA345"/>
  <c r="AB345" s="1"/>
  <c r="U345"/>
  <c r="V345" s="1"/>
  <c r="O345"/>
  <c r="P345" s="1"/>
  <c r="I345"/>
  <c r="J345" s="1"/>
  <c r="C345"/>
  <c r="D345" s="1"/>
  <c r="AB342"/>
  <c r="V342"/>
  <c r="P342"/>
  <c r="J342"/>
  <c r="D342"/>
  <c r="AB341"/>
  <c r="V341"/>
  <c r="P341"/>
  <c r="J341"/>
  <c r="D341"/>
  <c r="AB340"/>
  <c r="V340"/>
  <c r="P340"/>
  <c r="J340"/>
  <c r="D340"/>
  <c r="AB339"/>
  <c r="V339"/>
  <c r="P339"/>
  <c r="J339"/>
  <c r="D339"/>
  <c r="AB338"/>
  <c r="V338"/>
  <c r="P338"/>
  <c r="J338"/>
  <c r="D338"/>
  <c r="AB337"/>
  <c r="V337"/>
  <c r="P337"/>
  <c r="J337"/>
  <c r="D337"/>
  <c r="AA304"/>
  <c r="AB304" s="1"/>
  <c r="U304"/>
  <c r="V304" s="1"/>
  <c r="I304"/>
  <c r="J304" s="1"/>
  <c r="O304"/>
  <c r="C304"/>
  <c r="P304"/>
  <c r="AA303"/>
  <c r="AB303" s="1"/>
  <c r="AB307" s="1"/>
  <c r="AB308" s="1"/>
  <c r="U303"/>
  <c r="V303" s="1"/>
  <c r="O303"/>
  <c r="P303" s="1"/>
  <c r="P307" s="1"/>
  <c r="P308" s="1"/>
  <c r="I303"/>
  <c r="J303" s="1"/>
  <c r="AB300"/>
  <c r="V300"/>
  <c r="P300"/>
  <c r="J300"/>
  <c r="AB299"/>
  <c r="V299"/>
  <c r="P299"/>
  <c r="J299"/>
  <c r="AB298"/>
  <c r="V298"/>
  <c r="P298"/>
  <c r="J298"/>
  <c r="AB297"/>
  <c r="V297"/>
  <c r="P297"/>
  <c r="J297"/>
  <c r="AB296"/>
  <c r="V296"/>
  <c r="P296"/>
  <c r="J296"/>
  <c r="AB295"/>
  <c r="V295"/>
  <c r="P295"/>
  <c r="J295"/>
  <c r="D304"/>
  <c r="C303"/>
  <c r="D303" s="1"/>
  <c r="D300"/>
  <c r="D299"/>
  <c r="D298"/>
  <c r="D297"/>
  <c r="D296"/>
  <c r="D295"/>
  <c r="C221"/>
  <c r="D221"/>
  <c r="I221"/>
  <c r="AA221"/>
  <c r="AB221" s="1"/>
  <c r="O221"/>
  <c r="U221"/>
  <c r="V221" s="1"/>
  <c r="AA263"/>
  <c r="AB263" s="1"/>
  <c r="U263"/>
  <c r="V263" s="1"/>
  <c r="O263"/>
  <c r="I263"/>
  <c r="J263" s="1"/>
  <c r="C263"/>
  <c r="D263" s="1"/>
  <c r="C199"/>
  <c r="I199"/>
  <c r="O199"/>
  <c r="O178"/>
  <c r="I178"/>
  <c r="C178"/>
  <c r="O134"/>
  <c r="I134"/>
  <c r="C134"/>
  <c r="P263"/>
  <c r="AA262"/>
  <c r="AB262" s="1"/>
  <c r="AB266" s="1"/>
  <c r="AB267" s="1"/>
  <c r="U262"/>
  <c r="V262" s="1"/>
  <c r="O262"/>
  <c r="P262" s="1"/>
  <c r="P266" s="1"/>
  <c r="P267" s="1"/>
  <c r="P268" s="1"/>
  <c r="I262"/>
  <c r="J262" s="1"/>
  <c r="J266" s="1"/>
  <c r="J267" s="1"/>
  <c r="C262"/>
  <c r="D262" s="1"/>
  <c r="AB259"/>
  <c r="V259"/>
  <c r="P259"/>
  <c r="J259"/>
  <c r="D259"/>
  <c r="AB258"/>
  <c r="V258"/>
  <c r="P258"/>
  <c r="J258"/>
  <c r="D258"/>
  <c r="AB257"/>
  <c r="V257"/>
  <c r="P257"/>
  <c r="J257"/>
  <c r="D257"/>
  <c r="AB256"/>
  <c r="V256"/>
  <c r="P256"/>
  <c r="J256"/>
  <c r="D256"/>
  <c r="AB255"/>
  <c r="V255"/>
  <c r="P255"/>
  <c r="J255"/>
  <c r="D255"/>
  <c r="AB254"/>
  <c r="V254"/>
  <c r="P254"/>
  <c r="J254"/>
  <c r="D254"/>
  <c r="D212"/>
  <c r="J212"/>
  <c r="P212"/>
  <c r="V212"/>
  <c r="AB212"/>
  <c r="AB190"/>
  <c r="V190"/>
  <c r="P190"/>
  <c r="J190"/>
  <c r="D190"/>
  <c r="D169"/>
  <c r="J169"/>
  <c r="P169"/>
  <c r="V169"/>
  <c r="V125"/>
  <c r="P125"/>
  <c r="J125"/>
  <c r="D125"/>
  <c r="P221"/>
  <c r="J221"/>
  <c r="AA220"/>
  <c r="AB220" s="1"/>
  <c r="U220"/>
  <c r="V220" s="1"/>
  <c r="O220"/>
  <c r="P220" s="1"/>
  <c r="I220"/>
  <c r="J220" s="1"/>
  <c r="C220"/>
  <c r="D220" s="1"/>
  <c r="AB217"/>
  <c r="V217"/>
  <c r="P217"/>
  <c r="J217"/>
  <c r="D217"/>
  <c r="AB216"/>
  <c r="V216"/>
  <c r="P216"/>
  <c r="J216"/>
  <c r="D216"/>
  <c r="AB215"/>
  <c r="V215"/>
  <c r="P215"/>
  <c r="J215"/>
  <c r="D215"/>
  <c r="AB214"/>
  <c r="V214"/>
  <c r="P214"/>
  <c r="J214"/>
  <c r="D214"/>
  <c r="AB213"/>
  <c r="V213"/>
  <c r="P213"/>
  <c r="J213"/>
  <c r="D213"/>
  <c r="D92"/>
  <c r="J92"/>
  <c r="P92"/>
  <c r="V92"/>
  <c r="AB92"/>
  <c r="AB111"/>
  <c r="V111"/>
  <c r="P111"/>
  <c r="J111"/>
  <c r="D111"/>
  <c r="AA110"/>
  <c r="AB110" s="1"/>
  <c r="U110"/>
  <c r="V110" s="1"/>
  <c r="O110"/>
  <c r="P110" s="1"/>
  <c r="P114" s="1"/>
  <c r="P115" s="1"/>
  <c r="P116" s="1"/>
  <c r="P117" s="1"/>
  <c r="I110"/>
  <c r="J110" s="1"/>
  <c r="C110"/>
  <c r="D110" s="1"/>
  <c r="AB107"/>
  <c r="V107"/>
  <c r="P107"/>
  <c r="J107"/>
  <c r="D107"/>
  <c r="AB106"/>
  <c r="V106"/>
  <c r="P106"/>
  <c r="J106"/>
  <c r="D106"/>
  <c r="AB105"/>
  <c r="V105"/>
  <c r="P105"/>
  <c r="J105"/>
  <c r="D105"/>
  <c r="AB104"/>
  <c r="V104"/>
  <c r="P104"/>
  <c r="J104"/>
  <c r="D104"/>
  <c r="AB103"/>
  <c r="V103"/>
  <c r="P103"/>
  <c r="J103"/>
  <c r="D103"/>
  <c r="AA91"/>
  <c r="AB91"/>
  <c r="U91"/>
  <c r="V91"/>
  <c r="O91"/>
  <c r="P91"/>
  <c r="I91"/>
  <c r="J91"/>
  <c r="C91"/>
  <c r="D91"/>
  <c r="AB88"/>
  <c r="V88"/>
  <c r="P88"/>
  <c r="J88"/>
  <c r="D88"/>
  <c r="AB87"/>
  <c r="V87"/>
  <c r="P87"/>
  <c r="J87"/>
  <c r="D87"/>
  <c r="AB86"/>
  <c r="V86"/>
  <c r="P86"/>
  <c r="J86"/>
  <c r="D86"/>
  <c r="AB85"/>
  <c r="V85"/>
  <c r="P85"/>
  <c r="J85"/>
  <c r="D85"/>
  <c r="AB84"/>
  <c r="AB95"/>
  <c r="AB96" s="1"/>
  <c r="AB97" s="1"/>
  <c r="AB98" s="1"/>
  <c r="V84"/>
  <c r="P84"/>
  <c r="P95" s="1"/>
  <c r="P96" s="1"/>
  <c r="P97" s="1"/>
  <c r="P98" s="1"/>
  <c r="J84"/>
  <c r="D84"/>
  <c r="D95"/>
  <c r="D96" s="1"/>
  <c r="D97" s="1"/>
  <c r="D98" s="1"/>
  <c r="P70"/>
  <c r="J70"/>
  <c r="D70"/>
  <c r="AB12"/>
  <c r="V12"/>
  <c r="AB31"/>
  <c r="V31"/>
  <c r="AB70"/>
  <c r="V70"/>
  <c r="AB51"/>
  <c r="V51"/>
  <c r="P51"/>
  <c r="J51"/>
  <c r="D51"/>
  <c r="AA50"/>
  <c r="AB50" s="1"/>
  <c r="AB47"/>
  <c r="AB46"/>
  <c r="AB45"/>
  <c r="AB44"/>
  <c r="AB43"/>
  <c r="AA69"/>
  <c r="AB69"/>
  <c r="U69"/>
  <c r="V69"/>
  <c r="O69"/>
  <c r="P69"/>
  <c r="I69"/>
  <c r="J69"/>
  <c r="C69"/>
  <c r="D69"/>
  <c r="AB66"/>
  <c r="V66"/>
  <c r="P66"/>
  <c r="J66"/>
  <c r="D66"/>
  <c r="AB65"/>
  <c r="V65"/>
  <c r="P65"/>
  <c r="J65"/>
  <c r="D65"/>
  <c r="AB64"/>
  <c r="V64"/>
  <c r="P64"/>
  <c r="J64"/>
  <c r="D64"/>
  <c r="AB63"/>
  <c r="V63"/>
  <c r="P63"/>
  <c r="J63"/>
  <c r="D63"/>
  <c r="AB62"/>
  <c r="V62"/>
  <c r="P62"/>
  <c r="J62"/>
  <c r="D62"/>
  <c r="U50"/>
  <c r="V50" s="1"/>
  <c r="V54" s="1"/>
  <c r="V55" s="1"/>
  <c r="V56" s="1"/>
  <c r="V57" s="1"/>
  <c r="O50"/>
  <c r="P50" s="1"/>
  <c r="I50"/>
  <c r="J50" s="1"/>
  <c r="J54" s="1"/>
  <c r="J55" s="1"/>
  <c r="J56" s="1"/>
  <c r="C50"/>
  <c r="D50"/>
  <c r="V47"/>
  <c r="P47"/>
  <c r="J47"/>
  <c r="D47"/>
  <c r="V46"/>
  <c r="P46"/>
  <c r="J46"/>
  <c r="D46"/>
  <c r="V45"/>
  <c r="P45"/>
  <c r="J45"/>
  <c r="D45"/>
  <c r="V44"/>
  <c r="P44"/>
  <c r="J44"/>
  <c r="D44"/>
  <c r="V43"/>
  <c r="P43"/>
  <c r="J43"/>
  <c r="D43"/>
  <c r="AB199"/>
  <c r="V199"/>
  <c r="P199"/>
  <c r="J199"/>
  <c r="D199"/>
  <c r="AA198"/>
  <c r="AB198" s="1"/>
  <c r="AB195"/>
  <c r="AB194"/>
  <c r="AB193"/>
  <c r="AB192"/>
  <c r="AB191"/>
  <c r="U198"/>
  <c r="V198" s="1"/>
  <c r="V202" s="1"/>
  <c r="V203" s="1"/>
  <c r="V195"/>
  <c r="V194"/>
  <c r="V193"/>
  <c r="V192"/>
  <c r="V191"/>
  <c r="O198"/>
  <c r="P198" s="1"/>
  <c r="P195"/>
  <c r="P194"/>
  <c r="P193"/>
  <c r="P192"/>
  <c r="P191"/>
  <c r="I198"/>
  <c r="J198"/>
  <c r="J195"/>
  <c r="J194"/>
  <c r="J193"/>
  <c r="J192"/>
  <c r="J191"/>
  <c r="C198"/>
  <c r="D198" s="1"/>
  <c r="D195"/>
  <c r="D194"/>
  <c r="D193"/>
  <c r="D192"/>
  <c r="D191"/>
  <c r="V178"/>
  <c r="P178"/>
  <c r="J178"/>
  <c r="D178"/>
  <c r="AB134"/>
  <c r="V134"/>
  <c r="P134"/>
  <c r="J134"/>
  <c r="D134"/>
  <c r="AB178"/>
  <c r="AA177"/>
  <c r="AB177" s="1"/>
  <c r="U177"/>
  <c r="V177" s="1"/>
  <c r="O177"/>
  <c r="P177" s="1"/>
  <c r="AB174"/>
  <c r="V174"/>
  <c r="P174"/>
  <c r="AB173"/>
  <c r="V173"/>
  <c r="P173"/>
  <c r="AB172"/>
  <c r="V172"/>
  <c r="P172"/>
  <c r="AB171"/>
  <c r="V171"/>
  <c r="P171"/>
  <c r="AB170"/>
  <c r="V170"/>
  <c r="P170"/>
  <c r="AB169"/>
  <c r="I177"/>
  <c r="J177" s="1"/>
  <c r="J174"/>
  <c r="J173"/>
  <c r="J172"/>
  <c r="J171"/>
  <c r="J170"/>
  <c r="C177"/>
  <c r="D177"/>
  <c r="D174"/>
  <c r="D173"/>
  <c r="D172"/>
  <c r="D171"/>
  <c r="D181" s="1"/>
  <c r="D170"/>
  <c r="AA133"/>
  <c r="AB133" s="1"/>
  <c r="AB130"/>
  <c r="AB129"/>
  <c r="AB128"/>
  <c r="AB127"/>
  <c r="AB126"/>
  <c r="AB125"/>
  <c r="U133"/>
  <c r="V133" s="1"/>
  <c r="V130"/>
  <c r="V129"/>
  <c r="V128"/>
  <c r="V127"/>
  <c r="V126"/>
  <c r="O133"/>
  <c r="P133" s="1"/>
  <c r="P130"/>
  <c r="P129"/>
  <c r="P128"/>
  <c r="P127"/>
  <c r="P126"/>
  <c r="J126"/>
  <c r="D126"/>
  <c r="P31"/>
  <c r="J31"/>
  <c r="D31"/>
  <c r="AA30"/>
  <c r="AB30" s="1"/>
  <c r="U30"/>
  <c r="V30" s="1"/>
  <c r="O30"/>
  <c r="P30" s="1"/>
  <c r="I30"/>
  <c r="J30" s="1"/>
  <c r="C30"/>
  <c r="D30" s="1"/>
  <c r="AB27"/>
  <c r="V27"/>
  <c r="P27"/>
  <c r="J27"/>
  <c r="D27"/>
  <c r="AB26"/>
  <c r="V26"/>
  <c r="P26"/>
  <c r="J26"/>
  <c r="D26"/>
  <c r="AB25"/>
  <c r="V25"/>
  <c r="P25"/>
  <c r="J25"/>
  <c r="D25"/>
  <c r="AB24"/>
  <c r="V24"/>
  <c r="P24"/>
  <c r="J24"/>
  <c r="D24"/>
  <c r="AB23"/>
  <c r="V23"/>
  <c r="P23"/>
  <c r="J23"/>
  <c r="D23"/>
  <c r="J12"/>
  <c r="D12"/>
  <c r="J4"/>
  <c r="J5"/>
  <c r="J6"/>
  <c r="J7"/>
  <c r="J8"/>
  <c r="I11"/>
  <c r="J11" s="1"/>
  <c r="J127"/>
  <c r="J128"/>
  <c r="J129"/>
  <c r="J130"/>
  <c r="I133"/>
  <c r="J133" s="1"/>
  <c r="AA11"/>
  <c r="AB11" s="1"/>
  <c r="AB8"/>
  <c r="AB7"/>
  <c r="AB6"/>
  <c r="AB5"/>
  <c r="AB4"/>
  <c r="AB15" s="1"/>
  <c r="AB16" s="1"/>
  <c r="AB17" s="1"/>
  <c r="P12"/>
  <c r="O11"/>
  <c r="P11" s="1"/>
  <c r="P8"/>
  <c r="P7"/>
  <c r="P6"/>
  <c r="P5"/>
  <c r="P4"/>
  <c r="C11"/>
  <c r="D11" s="1"/>
  <c r="D8"/>
  <c r="D7"/>
  <c r="D6"/>
  <c r="D5"/>
  <c r="D4"/>
  <c r="U11"/>
  <c r="V11" s="1"/>
  <c r="V8"/>
  <c r="V7"/>
  <c r="V6"/>
  <c r="V5"/>
  <c r="V4"/>
  <c r="H12" i="2"/>
  <c r="G9"/>
  <c r="H9" s="1"/>
  <c r="G8"/>
  <c r="H8" s="1"/>
  <c r="G7"/>
  <c r="H7" s="1"/>
  <c r="G6"/>
  <c r="H6" s="1"/>
  <c r="G5"/>
  <c r="H5" s="1"/>
  <c r="G4"/>
  <c r="H4" s="1"/>
  <c r="G3"/>
  <c r="H3" s="1"/>
  <c r="D128" i="1"/>
  <c r="D127"/>
  <c r="C133"/>
  <c r="D133"/>
  <c r="D130"/>
  <c r="D129"/>
  <c r="D137" s="1"/>
  <c r="D138" s="1"/>
  <c r="D139" s="1"/>
  <c r="P181"/>
  <c r="P182" s="1"/>
  <c r="AB181"/>
  <c r="AB182" s="1"/>
  <c r="AB183" s="1"/>
  <c r="AB54"/>
  <c r="AB55" s="1"/>
  <c r="AB56" s="1"/>
  <c r="AB57" s="1"/>
  <c r="V158"/>
  <c r="V159" s="1"/>
  <c r="V160"/>
  <c r="J158"/>
  <c r="J159" s="1"/>
  <c r="J160"/>
  <c r="J245"/>
  <c r="J246" s="1"/>
  <c r="J247" s="1"/>
  <c r="V245"/>
  <c r="V246" s="1"/>
  <c r="D245"/>
  <c r="D246" s="1"/>
  <c r="D247"/>
  <c r="P245"/>
  <c r="P246" s="1"/>
  <c r="AB245"/>
  <c r="AB246" s="1"/>
  <c r="J286"/>
  <c r="J287" s="1"/>
  <c r="J288"/>
  <c r="V286"/>
  <c r="V287" s="1"/>
  <c r="V288" s="1"/>
  <c r="AB247"/>
  <c r="AB184"/>
  <c r="P15"/>
  <c r="P16" s="1"/>
  <c r="P17" s="1"/>
  <c r="J137"/>
  <c r="J138" s="1"/>
  <c r="J139" s="1"/>
  <c r="V95"/>
  <c r="V96" s="1"/>
  <c r="V97" s="1"/>
  <c r="V98" s="1"/>
  <c r="J95"/>
  <c r="J96" s="1"/>
  <c r="J97" s="1"/>
  <c r="J349"/>
  <c r="J350" s="1"/>
  <c r="J351" s="1"/>
  <c r="J369"/>
  <c r="J370" s="1"/>
  <c r="J371" s="1"/>
  <c r="V369"/>
  <c r="V370" s="1"/>
  <c r="V371" s="1"/>
  <c r="J328"/>
  <c r="J329" s="1"/>
  <c r="J330" s="1"/>
  <c r="V328"/>
  <c r="V329" s="1"/>
  <c r="V330" s="1"/>
  <c r="V289"/>
  <c r="P247"/>
  <c r="P248" s="1"/>
  <c r="J248"/>
  <c r="D182"/>
  <c r="D183" s="1"/>
  <c r="J202"/>
  <c r="J203"/>
  <c r="J204" s="1"/>
  <c r="D54"/>
  <c r="D55" s="1"/>
  <c r="D56" s="1"/>
  <c r="D57" s="1"/>
  <c r="J73"/>
  <c r="J74" s="1"/>
  <c r="V73"/>
  <c r="V74" s="1"/>
  <c r="V75" s="1"/>
  <c r="V76" s="1"/>
  <c r="P18"/>
  <c r="D73"/>
  <c r="D74"/>
  <c r="D75" s="1"/>
  <c r="D76" s="1"/>
  <c r="P73"/>
  <c r="P74"/>
  <c r="P75" s="1"/>
  <c r="P76" s="1"/>
  <c r="AB73"/>
  <c r="AB74"/>
  <c r="AB75" s="1"/>
  <c r="AB76" s="1"/>
  <c r="J57"/>
  <c r="V331"/>
  <c r="V372"/>
  <c r="V204" l="1"/>
  <c r="V205"/>
  <c r="AB268"/>
  <c r="AB269"/>
  <c r="AB114"/>
  <c r="AB115" s="1"/>
  <c r="AB116" s="1"/>
  <c r="AB117" s="1"/>
  <c r="D266"/>
  <c r="D267" s="1"/>
  <c r="D268" s="1"/>
  <c r="J268"/>
  <c r="J269" s="1"/>
  <c r="AB309"/>
  <c r="AB310"/>
  <c r="D15"/>
  <c r="D16" s="1"/>
  <c r="D17" s="1"/>
  <c r="D18" s="1"/>
  <c r="D34"/>
  <c r="D35" s="1"/>
  <c r="D36" s="1"/>
  <c r="D37" s="1"/>
  <c r="P34"/>
  <c r="P35" s="1"/>
  <c r="P36" s="1"/>
  <c r="P37" s="1"/>
  <c r="AB34"/>
  <c r="AB35" s="1"/>
  <c r="AB36" s="1"/>
  <c r="AB37" s="1"/>
  <c r="J34"/>
  <c r="J35" s="1"/>
  <c r="J36" s="1"/>
  <c r="V137"/>
  <c r="V138" s="1"/>
  <c r="V181"/>
  <c r="V182" s="1"/>
  <c r="D202"/>
  <c r="D203" s="1"/>
  <c r="P202"/>
  <c r="P203" s="1"/>
  <c r="P54"/>
  <c r="P55" s="1"/>
  <c r="P56" s="1"/>
  <c r="P57" s="1"/>
  <c r="J114"/>
  <c r="J115" s="1"/>
  <c r="J224"/>
  <c r="J225" s="1"/>
  <c r="J226" s="1"/>
  <c r="V224"/>
  <c r="V225" s="1"/>
  <c r="D307"/>
  <c r="D308" s="1"/>
  <c r="V307"/>
  <c r="V308" s="1"/>
  <c r="V309" s="1"/>
  <c r="D349"/>
  <c r="D350" s="1"/>
  <c r="P349"/>
  <c r="P350" s="1"/>
  <c r="P351" s="1"/>
  <c r="AB349"/>
  <c r="AB350" s="1"/>
  <c r="D369"/>
  <c r="D370" s="1"/>
  <c r="P369"/>
  <c r="P370" s="1"/>
  <c r="AB369"/>
  <c r="AB370" s="1"/>
  <c r="AB371" s="1"/>
  <c r="AB137"/>
  <c r="AB138" s="1"/>
  <c r="AB202"/>
  <c r="AB203" s="1"/>
  <c r="D114"/>
  <c r="D115" s="1"/>
  <c r="D116" s="1"/>
  <c r="D117" s="1"/>
  <c r="V114"/>
  <c r="V115" s="1"/>
  <c r="V116" s="1"/>
  <c r="V117" s="1"/>
  <c r="D224"/>
  <c r="D225" s="1"/>
  <c r="P224"/>
  <c r="P225" s="1"/>
  <c r="AB224"/>
  <c r="AB225" s="1"/>
  <c r="AB226" s="1"/>
  <c r="AB227" s="1"/>
  <c r="V266"/>
  <c r="V267" s="1"/>
  <c r="J307"/>
  <c r="J308" s="1"/>
  <c r="J309" s="1"/>
  <c r="J310" s="1"/>
  <c r="D328"/>
  <c r="D329" s="1"/>
  <c r="V183"/>
  <c r="V184" s="1"/>
  <c r="P204"/>
  <c r="P205"/>
  <c r="P183"/>
  <c r="P184"/>
  <c r="J75"/>
  <c r="J76"/>
  <c r="P309"/>
  <c r="P310"/>
  <c r="AB248"/>
  <c r="J15"/>
  <c r="J16" s="1"/>
  <c r="P352"/>
  <c r="D269"/>
  <c r="J227"/>
  <c r="V310"/>
  <c r="P269"/>
  <c r="J372"/>
  <c r="J37"/>
  <c r="AB372"/>
  <c r="J205"/>
  <c r="D184"/>
  <c r="J140"/>
  <c r="AB18"/>
  <c r="J352"/>
  <c r="J98"/>
  <c r="V247"/>
  <c r="V248" s="1"/>
  <c r="J289"/>
  <c r="D248"/>
  <c r="J161"/>
  <c r="V161"/>
  <c r="H10" i="2"/>
  <c r="H14" s="1"/>
  <c r="V15" i="1"/>
  <c r="V16" s="1"/>
  <c r="V34"/>
  <c r="V35" s="1"/>
  <c r="V36" s="1"/>
  <c r="V37" s="1"/>
  <c r="P137"/>
  <c r="P138" s="1"/>
  <c r="J181"/>
  <c r="J182" s="1"/>
  <c r="V349"/>
  <c r="V350" s="1"/>
  <c r="D158"/>
  <c r="D159" s="1"/>
  <c r="P158"/>
  <c r="P159" s="1"/>
  <c r="AB158"/>
  <c r="AB159" s="1"/>
  <c r="D286"/>
  <c r="D287" s="1"/>
  <c r="P286"/>
  <c r="P287" s="1"/>
  <c r="AB286"/>
  <c r="AB287" s="1"/>
  <c r="P328"/>
  <c r="P329" s="1"/>
  <c r="AB328"/>
  <c r="AB329" s="1"/>
  <c r="J331"/>
  <c r="D140"/>
  <c r="D330" l="1"/>
  <c r="D331"/>
  <c r="V268"/>
  <c r="V269"/>
  <c r="P226"/>
  <c r="P227" s="1"/>
  <c r="AB204"/>
  <c r="AB205"/>
  <c r="D371"/>
  <c r="D372"/>
  <c r="V226"/>
  <c r="V227"/>
  <c r="J116"/>
  <c r="J117"/>
  <c r="D226"/>
  <c r="D227"/>
  <c r="AB139"/>
  <c r="AB140"/>
  <c r="P371"/>
  <c r="P372"/>
  <c r="AB351"/>
  <c r="AB352"/>
  <c r="D351"/>
  <c r="D352"/>
  <c r="D309"/>
  <c r="D310"/>
  <c r="D204"/>
  <c r="D205"/>
  <c r="V139"/>
  <c r="V140"/>
  <c r="AB330"/>
  <c r="AB331"/>
  <c r="D288"/>
  <c r="D289"/>
  <c r="P160"/>
  <c r="P161"/>
  <c r="V351"/>
  <c r="V352"/>
  <c r="P330"/>
  <c r="P331"/>
  <c r="P288"/>
  <c r="P289"/>
  <c r="AB160"/>
  <c r="AB161"/>
  <c r="D160"/>
  <c r="D161"/>
  <c r="J183"/>
  <c r="J184"/>
  <c r="J17"/>
  <c r="J18"/>
  <c r="AB288"/>
  <c r="AB289"/>
  <c r="P139"/>
  <c r="P140"/>
  <c r="V17"/>
  <c r="V18"/>
</calcChain>
</file>

<file path=xl/sharedStrings.xml><?xml version="1.0" encoding="utf-8"?>
<sst xmlns="http://schemas.openxmlformats.org/spreadsheetml/2006/main" count="3464" uniqueCount="184">
  <si>
    <t>Наименование материала</t>
  </si>
  <si>
    <t>Ед. изм.</t>
  </si>
  <si>
    <t>кол-во</t>
  </si>
  <si>
    <t xml:space="preserve">Цена </t>
  </si>
  <si>
    <t>Труба 60*40*2</t>
  </si>
  <si>
    <t>труба 40*25*1,5</t>
  </si>
  <si>
    <t>труба 20*20*2</t>
  </si>
  <si>
    <t>Труба 80*80*3</t>
  </si>
  <si>
    <t>м/п</t>
  </si>
  <si>
    <t>Комплект стацион.</t>
  </si>
  <si>
    <t>шт.</t>
  </si>
  <si>
    <t>Сварочные материалы</t>
  </si>
  <si>
    <t>Работа сварщиков</t>
  </si>
  <si>
    <t>Покраска</t>
  </si>
  <si>
    <t>м2</t>
  </si>
  <si>
    <t>Профнастил МП- 20</t>
  </si>
  <si>
    <t xml:space="preserve">Замок врезной </t>
  </si>
  <si>
    <t>Общехозяйственные</t>
  </si>
  <si>
    <t>ВОРОТА ОТКАТНЫЕ</t>
  </si>
  <si>
    <t>Штакетник</t>
  </si>
  <si>
    <t>Профиль 40*20*40</t>
  </si>
  <si>
    <t>L-4000 ; Н -2000</t>
  </si>
  <si>
    <t>ПРОФНАСТИЛ ОДНОСТОРОННИЙ</t>
  </si>
  <si>
    <t>L-3000 ; Н -2000</t>
  </si>
  <si>
    <t>Ед. Изм.</t>
  </si>
  <si>
    <t>Кол-во</t>
  </si>
  <si>
    <t>Цена с НДС</t>
  </si>
  <si>
    <t>Кидка %</t>
  </si>
  <si>
    <t>Сумма заказа</t>
  </si>
  <si>
    <t>Штакетник L- 1500</t>
  </si>
  <si>
    <t>Цена по скидке</t>
  </si>
  <si>
    <t>Штакетник L- 1800</t>
  </si>
  <si>
    <t>Столб металлич. 60*40*2 H-2000</t>
  </si>
  <si>
    <t>Столб металлич .60*40*2 H-2500</t>
  </si>
  <si>
    <t>Заглушка пластиковая 60*40</t>
  </si>
  <si>
    <t>Комплект крепления секций забора</t>
  </si>
  <si>
    <t>И того :</t>
  </si>
  <si>
    <t>Прожилины секций забора</t>
  </si>
  <si>
    <t>Моннтаж пролетов</t>
  </si>
  <si>
    <t>Общая сумма заказа с монтажом</t>
  </si>
  <si>
    <t>L-3500 ; Н -2000</t>
  </si>
  <si>
    <t>L-4500 ; Н -2000</t>
  </si>
  <si>
    <t xml:space="preserve"> </t>
  </si>
  <si>
    <t>L-5000 ; Н -2000</t>
  </si>
  <si>
    <t>L-3000 ; Н -1750</t>
  </si>
  <si>
    <t>L-3500 ; Н -1750</t>
  </si>
  <si>
    <t>L-4000 ; Н -1750</t>
  </si>
  <si>
    <t>L-4500 ; Н -1750</t>
  </si>
  <si>
    <t>Себестоимость изделия</t>
  </si>
  <si>
    <t>Рентабильность</t>
  </si>
  <si>
    <t>руб</t>
  </si>
  <si>
    <t>%</t>
  </si>
  <si>
    <t xml:space="preserve">Ставка НДС </t>
  </si>
  <si>
    <t>Цена с учетом НДС</t>
  </si>
  <si>
    <t>ПОЛИЭСТЭР ОДНОСТОРОННИЙ</t>
  </si>
  <si>
    <t>ПУРАЛ</t>
  </si>
  <si>
    <t xml:space="preserve">Профнастил с двусторонним покрытием </t>
  </si>
  <si>
    <t>Профнастил с двусторонняя зашивка</t>
  </si>
  <si>
    <t>ШТАКЕТНИК</t>
  </si>
  <si>
    <t>L-5000 ; Н -1750</t>
  </si>
  <si>
    <t>H-1750</t>
  </si>
  <si>
    <t>ОДНОСТОРОННЯЯ ЗАШИВКА H-2000</t>
  </si>
  <si>
    <t xml:space="preserve"> ДВУСТОРОННИЙ (ПОЛИМЕР)</t>
  </si>
  <si>
    <t>ПОЛИЭСТЭР ДВУСТОРОННИЙ</t>
  </si>
  <si>
    <t>Двусторонняя зашивка штакетник</t>
  </si>
  <si>
    <t xml:space="preserve"> ДВУСТОРОННИЙ (ПОЛИЭСТЭР)</t>
  </si>
  <si>
    <t>ВОРОТА ОТКАТНЫЕ без автоматики</t>
  </si>
  <si>
    <t>Цена</t>
  </si>
  <si>
    <t xml:space="preserve"> ПРОФНАСТИЛ ЦВЕТНОЙ</t>
  </si>
  <si>
    <t>ВЫСОТА 2000 ММ</t>
  </si>
  <si>
    <t>ДВУХСТОРОННЯЯ ЗАШИВКА</t>
  </si>
  <si>
    <t>ОДНОСТОРОННЯЯ ЗАШИВКА</t>
  </si>
  <si>
    <t>ШТАКЕТНИК ПОЛИЭСТЕР ДВУХСТОРОННИЙ</t>
  </si>
  <si>
    <t>зашивка профнастилом с одной стороны</t>
  </si>
  <si>
    <t>зашивка пофнастилом с двух сторон</t>
  </si>
  <si>
    <t>Размеры</t>
  </si>
  <si>
    <t>Комплектация</t>
  </si>
  <si>
    <t>ВОРОТА РАСПАШНЫЕ без автоматики</t>
  </si>
  <si>
    <t>www.unistrade.biz</t>
  </si>
  <si>
    <t>№</t>
  </si>
  <si>
    <t>Наименование</t>
  </si>
  <si>
    <t>Вид защитно-декоративного покрытия</t>
  </si>
  <si>
    <t xml:space="preserve">Цена с НДС в бел.руб. </t>
  </si>
  <si>
    <t>Штакетник металлический                                                                                 из оцинкованной стали                                                                                                     (длинна от 0,5м до 3,0 м)</t>
  </si>
  <si>
    <t>м.п.</t>
  </si>
  <si>
    <t>Столб металлический 60х40х2 RAL</t>
  </si>
  <si>
    <t>Столб металлический 60х60х2 RAL</t>
  </si>
  <si>
    <t>Столб металлический 80х80х2 RAL</t>
  </si>
  <si>
    <t>Крепление секции забора (комплект из 4-х креплений)</t>
  </si>
  <si>
    <t>комплект</t>
  </si>
  <si>
    <t>Монтажная деталь, анкерный болт (или заклепка с внутренней резьбой М8 + болт М8 или саморез по металлу 6,3х19), шайба усиленная М8, заклепка сталь/сталь 4,8х10 -3 шт.</t>
  </si>
  <si>
    <t xml:space="preserve">Саморез с п/ш сверло 4,2*16 RAL </t>
  </si>
  <si>
    <t xml:space="preserve">шт. </t>
  </si>
  <si>
    <t>упаковки по 500 шт.</t>
  </si>
  <si>
    <t>* Полиэстер односторонний 25 мкн. - Базовые цвета каталога RAL.</t>
  </si>
  <si>
    <t>*** Двухстороннее полиэфирное покрытие 150 мкн. (Собственное производство) - Любой цвет по каталогу RAL.</t>
  </si>
  <si>
    <t xml:space="preserve">Готовые пролеты (секции) забора с зашивкой из штакетника металлического. </t>
  </si>
  <si>
    <t>Параметры пролета</t>
  </si>
  <si>
    <t xml:space="preserve">Вид защитно-декоративного покрытия                                                             Цена с НДС в бел.руб. </t>
  </si>
  <si>
    <t>Полиэстер односторонний 25 мкн.*</t>
  </si>
  <si>
    <t>Кол-во штакетин в пролете (при расстоянии 25 мм.), шт.</t>
  </si>
  <si>
    <t>Ширина  L, мм                                        Высота h, мм</t>
  </si>
  <si>
    <r>
      <t xml:space="preserve">Секции забора с </t>
    </r>
    <r>
      <rPr>
        <b/>
        <i/>
        <u/>
        <sz val="18"/>
        <rFont val="Times New Roman"/>
        <family val="1"/>
        <charset val="204"/>
      </rPr>
      <t>односторонней зашивкой</t>
    </r>
    <r>
      <rPr>
        <sz val="18"/>
        <rFont val="Times New Roman"/>
        <family val="1"/>
        <charset val="204"/>
      </rPr>
      <t xml:space="preserve"> из штакетника металлического (без столбов и креплений)</t>
    </r>
  </si>
  <si>
    <t>комплект в сборе</t>
  </si>
  <si>
    <t>Полиэстер двухсторонний 0,5мм 25 мкн.     (RAL 6005 и 8017)</t>
  </si>
  <si>
    <r>
      <t xml:space="preserve">Секции забора с </t>
    </r>
    <r>
      <rPr>
        <b/>
        <i/>
        <u/>
        <sz val="18"/>
        <rFont val="Times New Roman"/>
        <family val="1"/>
        <charset val="204"/>
      </rPr>
      <t>односторонней зашивкой</t>
    </r>
    <r>
      <rPr>
        <sz val="18"/>
        <rFont val="Times New Roman"/>
        <family val="1"/>
        <charset val="204"/>
      </rPr>
      <t xml:space="preserve"> из штакетника металлического  (без столбов и креплений)</t>
    </r>
  </si>
  <si>
    <t>Двухстороннее полимерное покрытие 150 мкн. (Собственное производство)***</t>
  </si>
  <si>
    <t>Кол-во штакетин в пролете (при расстоянии 60 мм.), шт.</t>
  </si>
  <si>
    <r>
      <t xml:space="preserve">Секции забора с </t>
    </r>
    <r>
      <rPr>
        <b/>
        <i/>
        <u/>
        <sz val="18"/>
        <rFont val="Times New Roman"/>
        <family val="1"/>
        <charset val="204"/>
      </rPr>
      <t>двухсторонней зашивкой</t>
    </r>
    <r>
      <rPr>
        <sz val="18"/>
        <rFont val="Times New Roman"/>
        <family val="1"/>
        <charset val="204"/>
      </rPr>
      <t xml:space="preserve"> из штакетника металлического  (без столбов и креплений)</t>
    </r>
  </si>
  <si>
    <t>** Пурал двухсторонний 0,55мм 50 мкн. (Швеция SSAB) - Цвета по каталогу RAL - 7024 (Графит), 8004 (Глиняный), 8017 (Шоколадный), 9006 (Серебристый), 9010 (Белый), 8003 (Медный)</t>
  </si>
  <si>
    <t>Полимерное покрытие 150 мкм. (Собственное производство)***</t>
  </si>
  <si>
    <r>
      <t>Двухсторонний полиэстер 0,5мм 25мкм.</t>
    </r>
    <r>
      <rPr>
        <b/>
        <i/>
        <sz val="14"/>
        <rFont val="Arial Cyr"/>
        <charset val="204"/>
      </rPr>
      <t xml:space="preserve"> RAL 8017</t>
    </r>
  </si>
  <si>
    <t>* Полиэстер односторонний 25 мкн. - Базовые цвета RAL 9003,1015,1014,8017,6005,5005,3011,3005,7024,7004</t>
  </si>
  <si>
    <t>Полиэстер (Глянец,МАТ) 0,5мм 25 мкм.*</t>
  </si>
  <si>
    <t>WWW.KOVKA-GRODNO.BY</t>
  </si>
  <si>
    <t>Оцинковка   0,5мм</t>
  </si>
  <si>
    <t>Античный дуб двухсторонний</t>
  </si>
  <si>
    <t>Структурный МАТ двухсторонний</t>
  </si>
  <si>
    <t xml:space="preserve">Двухстороннее полимерное покрытие 100 мкм. </t>
  </si>
  <si>
    <t>Золотой  дуб двухсторонний</t>
  </si>
  <si>
    <t>Прожилина для пролета (секции) профильная труба 40х20х2 RAL</t>
  </si>
  <si>
    <t>Прожилина для пролета (секции) оцинкованная труба 40х20х1,5 RAL</t>
  </si>
  <si>
    <r>
      <t>Направляющая усиливающая для пролета (для секции h</t>
    </r>
    <r>
      <rPr>
        <sz val="18"/>
        <rFont val="Calibri"/>
        <family val="2"/>
        <charset val="204"/>
      </rPr>
      <t>≥1500мм.</t>
    </r>
    <r>
      <rPr>
        <sz val="18"/>
        <rFont val="Times New Roman"/>
        <family val="1"/>
        <charset val="204"/>
      </rPr>
      <t>)  П-образный профиль 20*20*20</t>
    </r>
  </si>
  <si>
    <t>ВЫСОТА 1500 ММ</t>
  </si>
  <si>
    <t>ВЫСОТА 1800 ММ</t>
  </si>
  <si>
    <t xml:space="preserve">L-3000 </t>
  </si>
  <si>
    <t>L-3500</t>
  </si>
  <si>
    <t xml:space="preserve">L-4000 </t>
  </si>
  <si>
    <t xml:space="preserve">L-4500 </t>
  </si>
  <si>
    <t xml:space="preserve">L-3500 </t>
  </si>
  <si>
    <t>*полимерное покрытие+10% к стоимости ворот</t>
  </si>
  <si>
    <t>ШТАКЕТНИК ПОЛИЭСТЕР ДВУХСТОРОННИЙ*</t>
  </si>
  <si>
    <t xml:space="preserve">   Калитки уличные</t>
  </si>
  <si>
    <t>2. Заполнение (профнастил, штакетник)</t>
  </si>
  <si>
    <t>4. Регулируемые петли</t>
  </si>
  <si>
    <t xml:space="preserve">      *дополнительно может комплектоватся засовом,врезным замком </t>
  </si>
  <si>
    <t xml:space="preserve">зашивка штакетником с одной стороны </t>
  </si>
  <si>
    <t xml:space="preserve">зашивка штакетником с двух сторон </t>
  </si>
  <si>
    <t>в комплект калитки входит: замок ; накладки; регулируемые петли,притворные столбы</t>
  </si>
  <si>
    <t>сердцевина для замка комплектуются заказчиком.</t>
  </si>
  <si>
    <t xml:space="preserve">     *цвет по каталогу RAL   Базовые цвета RAL         8017,6005,6020,5005,3011,3005,</t>
  </si>
  <si>
    <t>3. Притворный столб 80*40 (несущий 80*80)</t>
  </si>
  <si>
    <t>1. Каркас- проф. труба 40*40 (при двойной зашивке60*40)</t>
  </si>
  <si>
    <t>5. Задвижка с петлей под замок, нижние запоры.</t>
  </si>
  <si>
    <t>монтаж ворт распашных - 1 200 000 руб.(песок и цемент в стоимость монтажа не входит)</t>
  </si>
  <si>
    <t>монтаж калитки                   -1 000 000 руб.(песок и цемент в стоимость монтажа не входит)</t>
  </si>
  <si>
    <t>монтаж ворт откатных - 2 200 000 руб.(песок и цемент в стоимость монтажа не входит)</t>
  </si>
  <si>
    <t>1. Каркас- профиная труба 40*40*2 (при двойной зашивке60*40*2)</t>
  </si>
  <si>
    <t>2. Опорный столб- профиная труба 80*80*3</t>
  </si>
  <si>
    <t>3. Автоматика и зубчатая рейка комплектуются отдельно.</t>
  </si>
  <si>
    <t>4. Закладая деталь входит в стоимость ворот.</t>
  </si>
  <si>
    <t>5. Доставка наших ворот бесплатная.</t>
  </si>
  <si>
    <t>6. Каждому покупателю ПОДАРОК.</t>
  </si>
  <si>
    <t>3. Автоматика  комплектуются отдельно.</t>
  </si>
  <si>
    <t>4. Доставка наших ворот бесплатная.</t>
  </si>
  <si>
    <t>5. Каждому покупателю ПОДАРОК.</t>
  </si>
  <si>
    <t xml:space="preserve">КАРКАС ВОРОТ ОТКАТНЫХ </t>
  </si>
  <si>
    <t>ПОД ЗАШИВКУ ПРОФЛИСТОМ</t>
  </si>
  <si>
    <t>ПОД ЗАШИВКУ ШТАКЕТНИКОМ</t>
  </si>
  <si>
    <t xml:space="preserve">1. Каркас под зашивку штакетником -профиная труба 40*40*2 </t>
  </si>
  <si>
    <t xml:space="preserve">2. Каркас под зашивку профлистом -профиная труба 60*40*2 </t>
  </si>
  <si>
    <t xml:space="preserve">3. Каркас зачищен и огрунтован. </t>
  </si>
  <si>
    <t>4. Опорный столб- профильная труба 80*80*3</t>
  </si>
  <si>
    <t>2. Опорный столб- профильная труба 80*80*3</t>
  </si>
  <si>
    <t>5. Закладая деталь входит в стоимость ворот.</t>
  </si>
  <si>
    <t>6. Автоматика и зубчатая рейка комплектуются отдельно.</t>
  </si>
  <si>
    <t>6. Доставка наших ворот по договаренности(платная).</t>
  </si>
  <si>
    <t>7. Каждому покупателю ПОДАРОК.</t>
  </si>
  <si>
    <t>КАРКАС ВОРОТ РАСПАШНЫХ</t>
  </si>
  <si>
    <t>ПОД ОДНОСТОРОННЮЮ ЗАШИВКУ ПРОФЛИСТОМ*</t>
  </si>
  <si>
    <t>*под двухстороннюю зашивку профлистом +10%</t>
  </si>
  <si>
    <t xml:space="preserve">1. Каркас -профиная труба 40*40*2 </t>
  </si>
  <si>
    <t xml:space="preserve">2. Каркас зачищен и огрунтован. </t>
  </si>
  <si>
    <t>3. Опорный столб- профильная труба 80*80*3</t>
  </si>
  <si>
    <t>4. Автоматика комплектуются отдельно.</t>
  </si>
  <si>
    <t>5. Доставка наших ворот по договаренности(платная).</t>
  </si>
  <si>
    <t xml:space="preserve">   Каркас калитки</t>
  </si>
  <si>
    <t>под зашивку профнастилом с одной стороны</t>
  </si>
  <si>
    <t>под зашивку пофнастилом с двух сторон</t>
  </si>
  <si>
    <t xml:space="preserve">под зашивку штакетником </t>
  </si>
  <si>
    <t>1. Каркас -профиная труба 40*40*2 (60*40*2)</t>
  </si>
  <si>
    <t>3. Опорный столб- профильная труба 60*60</t>
  </si>
  <si>
    <t>4. Замок комплектуются отдельно(врезаем).</t>
  </si>
  <si>
    <t>5. Доставка  по договаренности(платная).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</si>
</sst>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4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b/>
      <sz val="14"/>
      <name val="Arial Cyr"/>
      <charset val="204"/>
    </font>
    <font>
      <b/>
      <sz val="20"/>
      <name val="Times New Roman"/>
      <family val="1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6"/>
      <name val="Arial Cyr"/>
      <charset val="204"/>
    </font>
    <font>
      <b/>
      <sz val="14"/>
      <name val="Arial"/>
      <family val="2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2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i/>
      <u/>
      <sz val="16"/>
      <name val="Arial Cyr"/>
      <charset val="204"/>
    </font>
    <font>
      <b/>
      <i/>
      <u/>
      <sz val="18"/>
      <name val="Times New Roman"/>
      <family val="1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12"/>
      <name val="Book Antiqua"/>
      <family val="1"/>
      <charset val="204"/>
    </font>
    <font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48"/>
      <color rgb="FF0070C0"/>
      <name val="Arial Cyr"/>
      <charset val="204"/>
    </font>
    <font>
      <sz val="48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</font>
    <font>
      <b/>
      <sz val="11"/>
      <color rgb="FF0070C0"/>
      <name val="Calibri"/>
      <family val="2"/>
      <charset val="204"/>
    </font>
    <font>
      <b/>
      <sz val="16"/>
      <color rgb="FF00B0F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rgb="FF0070C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rgb="FF0070C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/>
    <xf numFmtId="0" fontId="25" fillId="2" borderId="1" xfId="0" applyFont="1" applyFill="1" applyBorder="1"/>
    <xf numFmtId="3" fontId="0" fillId="0" borderId="1" xfId="0" applyNumberFormat="1" applyBorder="1" applyAlignment="1">
      <alignment horizontal="center"/>
    </xf>
    <xf numFmtId="0" fontId="26" fillId="2" borderId="1" xfId="0" applyFont="1" applyFill="1" applyBorder="1"/>
    <xf numFmtId="0" fontId="24" fillId="2" borderId="1" xfId="0" applyFont="1" applyFill="1" applyBorder="1"/>
    <xf numFmtId="0" fontId="24" fillId="0" borderId="1" xfId="0" applyFont="1" applyBorder="1"/>
    <xf numFmtId="0" fontId="0" fillId="3" borderId="1" xfId="0" applyFill="1" applyBorder="1"/>
    <xf numFmtId="0" fontId="24" fillId="0" borderId="0" xfId="0" applyFont="1" applyBorder="1" applyAlignment="1">
      <alignment horizontal="center"/>
    </xf>
    <xf numFmtId="3" fontId="0" fillId="0" borderId="0" xfId="0" applyNumberFormat="1" applyBorder="1"/>
    <xf numFmtId="0" fontId="24" fillId="0" borderId="0" xfId="0" applyFont="1" applyBorder="1"/>
    <xf numFmtId="0" fontId="24" fillId="0" borderId="5" xfId="0" applyFont="1" applyBorder="1"/>
    <xf numFmtId="0" fontId="24" fillId="3" borderId="0" xfId="0" applyFont="1" applyFill="1" applyBorder="1"/>
    <xf numFmtId="3" fontId="24" fillId="2" borderId="1" xfId="0" applyNumberFormat="1" applyFont="1" applyFill="1" applyBorder="1"/>
    <xf numFmtId="0" fontId="27" fillId="0" borderId="0" xfId="0" applyFont="1"/>
    <xf numFmtId="0" fontId="0" fillId="3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1" xfId="0" applyFont="1" applyBorder="1"/>
    <xf numFmtId="3" fontId="0" fillId="0" borderId="0" xfId="0" applyNumberFormat="1"/>
    <xf numFmtId="0" fontId="32" fillId="0" borderId="2" xfId="0" applyFont="1" applyBorder="1"/>
    <xf numFmtId="0" fontId="24" fillId="3" borderId="1" xfId="0" applyFont="1" applyFill="1" applyBorder="1"/>
    <xf numFmtId="0" fontId="24" fillId="3" borderId="0" xfId="0" applyFont="1" applyFill="1" applyBorder="1" applyAlignment="1"/>
    <xf numFmtId="0" fontId="24" fillId="3" borderId="0" xfId="0" applyFont="1" applyFill="1" applyBorder="1" applyAlignment="1">
      <alignment horizontal="center"/>
    </xf>
    <xf numFmtId="3" fontId="0" fillId="3" borderId="0" xfId="0" applyNumberFormat="1" applyFill="1" applyBorder="1"/>
    <xf numFmtId="0" fontId="0" fillId="3" borderId="0" xfId="0" applyFill="1" applyBorder="1" applyAlignment="1"/>
    <xf numFmtId="0" fontId="32" fillId="3" borderId="0" xfId="0" applyFont="1" applyFill="1" applyBorder="1" applyAlignment="1">
      <alignment horizontal="center"/>
    </xf>
    <xf numFmtId="0" fontId="32" fillId="3" borderId="0" xfId="0" applyFont="1" applyFill="1" applyBorder="1" applyAlignment="1"/>
    <xf numFmtId="0" fontId="0" fillId="3" borderId="0" xfId="0" applyFill="1" applyBorder="1" applyAlignment="1">
      <alignment vertical="center"/>
    </xf>
    <xf numFmtId="0" fontId="34" fillId="0" borderId="0" xfId="1" applyFont="1" applyAlignment="1" applyProtection="1">
      <alignment horizontal="right"/>
    </xf>
    <xf numFmtId="0" fontId="25" fillId="0" borderId="0" xfId="0" applyFont="1"/>
    <xf numFmtId="2" fontId="0" fillId="0" borderId="0" xfId="0" applyNumberFormat="1"/>
    <xf numFmtId="0" fontId="4" fillId="6" borderId="7" xfId="3" applyFont="1" applyFill="1" applyBorder="1" applyAlignment="1">
      <alignment horizontal="center" vertical="center"/>
    </xf>
    <xf numFmtId="0" fontId="5" fillId="6" borderId="7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/>
    </xf>
    <xf numFmtId="0" fontId="35" fillId="0" borderId="0" xfId="0" applyFont="1"/>
    <xf numFmtId="0" fontId="7" fillId="0" borderId="0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left" vertical="center" wrapText="1"/>
    </xf>
    <xf numFmtId="0" fontId="9" fillId="0" borderId="13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left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3" fontId="8" fillId="3" borderId="0" xfId="3" applyNumberFormat="1" applyFont="1" applyFill="1" applyBorder="1" applyAlignment="1">
      <alignment horizontal="center" vertical="center"/>
    </xf>
    <xf numFmtId="0" fontId="25" fillId="0" borderId="0" xfId="0" applyFont="1" applyBorder="1"/>
    <xf numFmtId="0" fontId="12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3" fontId="13" fillId="3" borderId="0" xfId="3" applyNumberFormat="1" applyFont="1" applyFill="1" applyBorder="1" applyAlignment="1">
      <alignment horizontal="center" vertical="center"/>
    </xf>
    <xf numFmtId="0" fontId="17" fillId="0" borderId="0" xfId="3" applyFont="1" applyBorder="1" applyAlignment="1"/>
    <xf numFmtId="0" fontId="3" fillId="6" borderId="19" xfId="3" applyFont="1" applyFill="1" applyBorder="1" applyAlignment="1">
      <alignment horizontal="center" vertical="center" wrapText="1"/>
    </xf>
    <xf numFmtId="0" fontId="3" fillId="6" borderId="20" xfId="3" applyFont="1" applyFill="1" applyBorder="1" applyAlignment="1">
      <alignment horizontal="center" vertical="distributed" wrapText="1" readingOrder="1"/>
    </xf>
    <xf numFmtId="1" fontId="13" fillId="3" borderId="14" xfId="3" applyNumberFormat="1" applyFont="1" applyFill="1" applyBorder="1" applyAlignment="1">
      <alignment horizontal="center" vertical="center"/>
    </xf>
    <xf numFmtId="0" fontId="3" fillId="0" borderId="21" xfId="3" applyFont="1" applyFill="1" applyBorder="1" applyAlignment="1">
      <alignment horizontal="center" vertical="center"/>
    </xf>
    <xf numFmtId="3" fontId="21" fillId="3" borderId="22" xfId="3" applyNumberFormat="1" applyFont="1" applyFill="1" applyBorder="1" applyAlignment="1">
      <alignment horizontal="center" vertical="center"/>
    </xf>
    <xf numFmtId="3" fontId="21" fillId="3" borderId="23" xfId="3" applyNumberFormat="1" applyFont="1" applyFill="1" applyBorder="1" applyAlignment="1">
      <alignment horizontal="center" vertical="center"/>
    </xf>
    <xf numFmtId="3" fontId="21" fillId="3" borderId="24" xfId="3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3" fontId="21" fillId="3" borderId="25" xfId="3" applyNumberFormat="1" applyFont="1" applyFill="1" applyBorder="1" applyAlignment="1">
      <alignment horizontal="center" vertical="center"/>
    </xf>
    <xf numFmtId="3" fontId="21" fillId="3" borderId="1" xfId="3" applyNumberFormat="1" applyFont="1" applyFill="1" applyBorder="1" applyAlignment="1">
      <alignment horizontal="center" vertical="center"/>
    </xf>
    <xf numFmtId="3" fontId="21" fillId="3" borderId="26" xfId="3" applyNumberFormat="1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center" vertical="center"/>
    </xf>
    <xf numFmtId="3" fontId="21" fillId="3" borderId="28" xfId="3" applyNumberFormat="1" applyFont="1" applyFill="1" applyBorder="1" applyAlignment="1">
      <alignment horizontal="center" vertical="center"/>
    </xf>
    <xf numFmtId="3" fontId="21" fillId="3" borderId="29" xfId="3" applyNumberFormat="1" applyFont="1" applyFill="1" applyBorder="1" applyAlignment="1">
      <alignment horizontal="center" vertical="center"/>
    </xf>
    <xf numFmtId="3" fontId="21" fillId="3" borderId="30" xfId="3" applyNumberFormat="1" applyFont="1" applyFill="1" applyBorder="1" applyAlignment="1">
      <alignment horizontal="center" vertical="center"/>
    </xf>
    <xf numFmtId="0" fontId="13" fillId="0" borderId="31" xfId="3" applyFont="1" applyBorder="1" applyAlignment="1">
      <alignment vertical="center"/>
    </xf>
    <xf numFmtId="0" fontId="3" fillId="0" borderId="0" xfId="3" applyFont="1" applyBorder="1" applyAlignment="1">
      <alignment vertical="center" wrapText="1"/>
    </xf>
    <xf numFmtId="0" fontId="3" fillId="0" borderId="32" xfId="3" applyFont="1" applyBorder="1" applyAlignment="1">
      <alignment vertical="center"/>
    </xf>
    <xf numFmtId="0" fontId="13" fillId="0" borderId="31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vertical="center" textRotation="90"/>
    </xf>
    <xf numFmtId="0" fontId="3" fillId="0" borderId="11" xfId="3" applyFont="1" applyFill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3" fontId="21" fillId="3" borderId="33" xfId="3" applyNumberFormat="1" applyFont="1" applyFill="1" applyBorder="1" applyAlignment="1">
      <alignment horizontal="center" vertical="center"/>
    </xf>
    <xf numFmtId="3" fontId="21" fillId="3" borderId="34" xfId="3" applyNumberFormat="1" applyFont="1" applyFill="1" applyBorder="1" applyAlignment="1">
      <alignment horizontal="center" vertical="center"/>
    </xf>
    <xf numFmtId="3" fontId="21" fillId="3" borderId="35" xfId="3" applyNumberFormat="1" applyFont="1" applyFill="1" applyBorder="1" applyAlignment="1">
      <alignment horizontal="center" vertical="center"/>
    </xf>
    <xf numFmtId="0" fontId="13" fillId="0" borderId="3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/>
    </xf>
    <xf numFmtId="0" fontId="13" fillId="0" borderId="37" xfId="3" applyFont="1" applyFill="1" applyBorder="1" applyAlignment="1">
      <alignment vertical="center"/>
    </xf>
    <xf numFmtId="0" fontId="14" fillId="0" borderId="38" xfId="3" applyFont="1" applyFill="1" applyBorder="1" applyAlignment="1">
      <alignment vertical="center" wrapText="1"/>
    </xf>
    <xf numFmtId="0" fontId="15" fillId="0" borderId="39" xfId="3" applyFont="1" applyFill="1" applyBorder="1" applyAlignment="1">
      <alignment vertical="center" textRotation="90"/>
    </xf>
    <xf numFmtId="0" fontId="3" fillId="6" borderId="7" xfId="3" applyFont="1" applyFill="1" applyBorder="1" applyAlignment="1">
      <alignment horizontal="center" vertical="center" wrapText="1"/>
    </xf>
    <xf numFmtId="1" fontId="13" fillId="3" borderId="7" xfId="3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/>
    </xf>
    <xf numFmtId="0" fontId="0" fillId="0" borderId="0" xfId="0" applyAlignment="1">
      <alignment wrapText="1"/>
    </xf>
    <xf numFmtId="3" fontId="8" fillId="3" borderId="16" xfId="3" applyNumberFormat="1" applyFont="1" applyFill="1" applyBorder="1" applyAlignment="1">
      <alignment horizontal="center" vertical="center"/>
    </xf>
    <xf numFmtId="0" fontId="39" fillId="0" borderId="0" xfId="0" applyFont="1"/>
    <xf numFmtId="0" fontId="40" fillId="3" borderId="0" xfId="0" applyFont="1" applyFill="1" applyBorder="1" applyAlignment="1"/>
    <xf numFmtId="0" fontId="40" fillId="3" borderId="0" xfId="0" applyFont="1" applyFill="1" applyBorder="1" applyAlignment="1">
      <alignment horizontal="center"/>
    </xf>
    <xf numFmtId="0" fontId="41" fillId="3" borderId="0" xfId="0" applyFont="1" applyFill="1" applyBorder="1" applyAlignment="1"/>
    <xf numFmtId="0" fontId="41" fillId="3" borderId="0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0" xfId="0" applyFont="1" applyBorder="1"/>
    <xf numFmtId="0" fontId="41" fillId="0" borderId="5" xfId="0" applyFont="1" applyBorder="1" applyAlignment="1">
      <alignment horizontal="center"/>
    </xf>
    <xf numFmtId="0" fontId="41" fillId="0" borderId="1" xfId="0" applyFont="1" applyBorder="1"/>
    <xf numFmtId="3" fontId="39" fillId="0" borderId="1" xfId="0" applyNumberFormat="1" applyFont="1" applyBorder="1"/>
    <xf numFmtId="0" fontId="41" fillId="0" borderId="0" xfId="0" applyFont="1" applyBorder="1"/>
    <xf numFmtId="0" fontId="39" fillId="3" borderId="0" xfId="0" applyFont="1" applyFill="1" applyBorder="1"/>
    <xf numFmtId="3" fontId="39" fillId="0" borderId="0" xfId="0" applyNumberFormat="1" applyFont="1" applyBorder="1"/>
    <xf numFmtId="0" fontId="41" fillId="3" borderId="0" xfId="0" applyFont="1" applyFill="1" applyBorder="1"/>
    <xf numFmtId="3" fontId="39" fillId="3" borderId="0" xfId="0" applyNumberFormat="1" applyFont="1" applyFill="1" applyBorder="1"/>
    <xf numFmtId="0" fontId="35" fillId="7" borderId="0" xfId="0" applyFont="1" applyFill="1"/>
    <xf numFmtId="0" fontId="0" fillId="7" borderId="0" xfId="0" applyFill="1"/>
    <xf numFmtId="0" fontId="38" fillId="9" borderId="0" xfId="0" applyFont="1" applyFill="1" applyAlignment="1"/>
    <xf numFmtId="0" fontId="42" fillId="3" borderId="0" xfId="0" applyFont="1" applyFill="1" applyBorder="1" applyAlignment="1">
      <alignment horizontal="center"/>
    </xf>
    <xf numFmtId="3" fontId="39" fillId="0" borderId="26" xfId="0" applyNumberFormat="1" applyFont="1" applyBorder="1"/>
    <xf numFmtId="3" fontId="39" fillId="0" borderId="2" xfId="0" applyNumberFormat="1" applyFont="1" applyBorder="1"/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3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Border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24" fillId="4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41" fillId="3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/>
    </xf>
    <xf numFmtId="0" fontId="40" fillId="4" borderId="5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/>
    </xf>
    <xf numFmtId="0" fontId="41" fillId="4" borderId="3" xfId="0" applyFont="1" applyFill="1" applyBorder="1" applyAlignment="1">
      <alignment horizontal="center"/>
    </xf>
    <xf numFmtId="0" fontId="41" fillId="4" borderId="4" xfId="0" applyFont="1" applyFill="1" applyBorder="1" applyAlignment="1">
      <alignment horizontal="center"/>
    </xf>
    <xf numFmtId="0" fontId="37" fillId="9" borderId="0" xfId="1" applyFont="1" applyFill="1" applyAlignment="1" applyProtection="1">
      <alignment horizontal="center"/>
    </xf>
    <xf numFmtId="0" fontId="38" fillId="9" borderId="0" xfId="0" applyFont="1" applyFill="1" applyAlignment="1">
      <alignment horizontal="center"/>
    </xf>
    <xf numFmtId="0" fontId="41" fillId="4" borderId="1" xfId="0" applyFont="1" applyFill="1" applyBorder="1" applyAlignment="1">
      <alignment horizontal="center"/>
    </xf>
    <xf numFmtId="3" fontId="41" fillId="0" borderId="2" xfId="0" applyNumberFormat="1" applyFont="1" applyBorder="1" applyAlignment="1">
      <alignment horizontal="center" vertical="center"/>
    </xf>
    <xf numFmtId="3" fontId="41" fillId="0" borderId="4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3" fontId="41" fillId="0" borderId="2" xfId="0" applyNumberFormat="1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horizontal="center" vertical="center"/>
    </xf>
    <xf numFmtId="0" fontId="45" fillId="0" borderId="54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6" xfId="0" applyFont="1" applyBorder="1" applyAlignment="1">
      <alignment horizontal="left"/>
    </xf>
    <xf numFmtId="0" fontId="45" fillId="0" borderId="50" xfId="0" applyFont="1" applyFill="1" applyBorder="1" applyAlignment="1">
      <alignment horizontal="left" wrapText="1"/>
    </xf>
    <xf numFmtId="0" fontId="45" fillId="0" borderId="51" xfId="0" applyFont="1" applyFill="1" applyBorder="1" applyAlignment="1">
      <alignment horizontal="left" wrapText="1"/>
    </xf>
    <xf numFmtId="0" fontId="45" fillId="0" borderId="52" xfId="0" applyFont="1" applyFill="1" applyBorder="1" applyAlignment="1">
      <alignment horizontal="left" wrapText="1"/>
    </xf>
    <xf numFmtId="0" fontId="45" fillId="0" borderId="53" xfId="0" applyFont="1" applyFill="1" applyBorder="1" applyAlignment="1">
      <alignment horizontal="left" wrapText="1"/>
    </xf>
    <xf numFmtId="0" fontId="45" fillId="0" borderId="3" xfId="0" applyFont="1" applyFill="1" applyBorder="1" applyAlignment="1">
      <alignment horizontal="left" wrapText="1"/>
    </xf>
    <xf numFmtId="0" fontId="45" fillId="0" borderId="4" xfId="0" applyFont="1" applyFill="1" applyBorder="1" applyAlignment="1">
      <alignment horizontal="left" wrapText="1"/>
    </xf>
    <xf numFmtId="0" fontId="45" fillId="0" borderId="53" xfId="0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45" fillId="0" borderId="4" xfId="0" applyFont="1" applyBorder="1" applyAlignment="1">
      <alignment horizontal="left"/>
    </xf>
    <xf numFmtId="0" fontId="33" fillId="9" borderId="2" xfId="0" applyFont="1" applyFill="1" applyBorder="1" applyAlignment="1">
      <alignment horizontal="center" vertical="center"/>
    </xf>
    <xf numFmtId="0" fontId="33" fillId="9" borderId="3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43" fillId="3" borderId="1" xfId="0" applyFont="1" applyFill="1" applyBorder="1" applyAlignment="1">
      <alignment horizontal="left"/>
    </xf>
    <xf numFmtId="0" fontId="43" fillId="3" borderId="2" xfId="0" applyFont="1" applyFill="1" applyBorder="1" applyAlignment="1">
      <alignment horizontal="left"/>
    </xf>
    <xf numFmtId="0" fontId="43" fillId="3" borderId="3" xfId="0" applyFont="1" applyFill="1" applyBorder="1" applyAlignment="1">
      <alignment horizontal="left"/>
    </xf>
    <xf numFmtId="0" fontId="0" fillId="0" borderId="68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4" fillId="2" borderId="1" xfId="0" applyFont="1" applyFill="1" applyBorder="1" applyAlignment="1">
      <alignment horizontal="center"/>
    </xf>
    <xf numFmtId="0" fontId="13" fillId="0" borderId="48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66" xfId="3" applyFont="1" applyFill="1" applyBorder="1" applyAlignment="1">
      <alignment horizontal="center" vertical="center"/>
    </xf>
    <xf numFmtId="0" fontId="13" fillId="6" borderId="48" xfId="3" applyFont="1" applyFill="1" applyBorder="1" applyAlignment="1">
      <alignment horizontal="center" vertical="center"/>
    </xf>
    <xf numFmtId="0" fontId="13" fillId="6" borderId="12" xfId="3" applyFont="1" applyFill="1" applyBorder="1" applyAlignment="1">
      <alignment horizontal="center" vertical="center"/>
    </xf>
    <xf numFmtId="0" fontId="13" fillId="6" borderId="14" xfId="3" applyFont="1" applyFill="1" applyBorder="1" applyAlignment="1">
      <alignment horizontal="center" vertical="center"/>
    </xf>
    <xf numFmtId="0" fontId="3" fillId="6" borderId="48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center" wrapText="1"/>
    </xf>
    <xf numFmtId="0" fontId="3" fillId="6" borderId="14" xfId="3" applyFont="1" applyFill="1" applyBorder="1" applyAlignment="1">
      <alignment horizontal="center" vertical="center" wrapText="1"/>
    </xf>
    <xf numFmtId="0" fontId="9" fillId="5" borderId="48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66" xfId="3" applyFont="1" applyFill="1" applyBorder="1" applyAlignment="1">
      <alignment horizontal="center" vertical="center" wrapText="1"/>
    </xf>
    <xf numFmtId="0" fontId="20" fillId="0" borderId="48" xfId="3" applyFont="1" applyFill="1" applyBorder="1" applyAlignment="1">
      <alignment horizontal="center" vertical="center" textRotation="90"/>
    </xf>
    <xf numFmtId="0" fontId="20" fillId="0" borderId="12" xfId="3" applyFont="1" applyFill="1" applyBorder="1" applyAlignment="1">
      <alignment horizontal="center" vertical="center" textRotation="90"/>
    </xf>
    <xf numFmtId="0" fontId="20" fillId="0" borderId="14" xfId="3" applyFont="1" applyFill="1" applyBorder="1" applyAlignment="1">
      <alignment horizontal="center" vertical="center" textRotation="90"/>
    </xf>
    <xf numFmtId="0" fontId="3" fillId="6" borderId="48" xfId="3" applyFont="1" applyFill="1" applyBorder="1" applyAlignment="1">
      <alignment horizontal="center" vertical="center"/>
    </xf>
    <xf numFmtId="0" fontId="3" fillId="6" borderId="12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horizontal="center" vertical="center"/>
    </xf>
    <xf numFmtId="0" fontId="3" fillId="6" borderId="41" xfId="3" applyFont="1" applyFill="1" applyBorder="1" applyAlignment="1">
      <alignment horizontal="center" vertical="center" wrapText="1"/>
    </xf>
    <xf numFmtId="0" fontId="3" fillId="6" borderId="49" xfId="3" applyFont="1" applyFill="1" applyBorder="1" applyAlignment="1">
      <alignment horizontal="center" vertical="center" wrapText="1"/>
    </xf>
    <xf numFmtId="0" fontId="3" fillId="6" borderId="31" xfId="3" applyFont="1" applyFill="1" applyBorder="1" applyAlignment="1">
      <alignment horizontal="center" vertical="center" wrapText="1"/>
    </xf>
    <xf numFmtId="0" fontId="3" fillId="6" borderId="36" xfId="3" applyFont="1" applyFill="1" applyBorder="1" applyAlignment="1">
      <alignment horizontal="center" vertical="center" wrapText="1"/>
    </xf>
    <xf numFmtId="0" fontId="3" fillId="6" borderId="37" xfId="3" applyFont="1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wrapText="1"/>
    </xf>
    <xf numFmtId="0" fontId="5" fillId="6" borderId="60" xfId="3" applyFont="1" applyFill="1" applyBorder="1" applyAlignment="1">
      <alignment horizontal="center" vertical="distributed" wrapText="1"/>
    </xf>
    <xf numFmtId="0" fontId="5" fillId="6" borderId="61" xfId="3" applyFont="1" applyFill="1" applyBorder="1" applyAlignment="1">
      <alignment horizontal="center" vertical="distributed" wrapText="1"/>
    </xf>
    <xf numFmtId="0" fontId="5" fillId="6" borderId="62" xfId="3" applyFont="1" applyFill="1" applyBorder="1" applyAlignment="1">
      <alignment horizontal="center" vertical="distributed" wrapText="1"/>
    </xf>
    <xf numFmtId="0" fontId="5" fillId="6" borderId="63" xfId="3" applyFont="1" applyFill="1" applyBorder="1" applyAlignment="1">
      <alignment horizontal="center" vertical="distributed" wrapText="1"/>
    </xf>
    <xf numFmtId="0" fontId="5" fillId="6" borderId="64" xfId="3" applyFont="1" applyFill="1" applyBorder="1" applyAlignment="1">
      <alignment horizontal="center" vertical="distributed" wrapText="1"/>
    </xf>
    <xf numFmtId="0" fontId="5" fillId="6" borderId="65" xfId="3" applyFont="1" applyFill="1" applyBorder="1" applyAlignment="1">
      <alignment horizontal="center" vertical="distributed" wrapText="1"/>
    </xf>
    <xf numFmtId="0" fontId="18" fillId="5" borderId="19" xfId="3" applyFont="1" applyFill="1" applyBorder="1" applyAlignment="1">
      <alignment horizontal="center" vertical="center" wrapText="1"/>
    </xf>
    <xf numFmtId="0" fontId="18" fillId="5" borderId="8" xfId="3" applyFont="1" applyFill="1" applyBorder="1" applyAlignment="1">
      <alignment horizontal="center" vertical="center" wrapText="1"/>
    </xf>
    <xf numFmtId="0" fontId="18" fillId="5" borderId="9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left" vertical="center"/>
    </xf>
    <xf numFmtId="0" fontId="3" fillId="6" borderId="57" xfId="3" applyFont="1" applyFill="1" applyBorder="1" applyAlignment="1">
      <alignment horizontal="center" vertical="center" wrapText="1"/>
    </xf>
    <xf numFmtId="0" fontId="3" fillId="6" borderId="58" xfId="3" applyFont="1" applyFill="1" applyBorder="1" applyAlignment="1">
      <alignment horizontal="center" vertical="center" wrapText="1"/>
    </xf>
    <xf numFmtId="0" fontId="18" fillId="5" borderId="37" xfId="3" applyFont="1" applyFill="1" applyBorder="1" applyAlignment="1">
      <alignment horizontal="center" vertical="center" wrapText="1"/>
    </xf>
    <xf numFmtId="0" fontId="18" fillId="5" borderId="38" xfId="3" applyFont="1" applyFill="1" applyBorder="1" applyAlignment="1">
      <alignment horizontal="center" vertical="center" wrapText="1"/>
    </xf>
    <xf numFmtId="0" fontId="18" fillId="5" borderId="39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18" fillId="5" borderId="57" xfId="3" applyFont="1" applyFill="1" applyBorder="1" applyAlignment="1">
      <alignment horizontal="center" vertical="center" wrapText="1"/>
    </xf>
    <xf numFmtId="0" fontId="18" fillId="5" borderId="59" xfId="3" applyFont="1" applyFill="1" applyBorder="1" applyAlignment="1">
      <alignment horizontal="center" vertical="center" wrapText="1"/>
    </xf>
    <xf numFmtId="0" fontId="18" fillId="5" borderId="58" xfId="3" applyFont="1" applyFill="1" applyBorder="1" applyAlignment="1">
      <alignment horizontal="center" vertical="center" wrapText="1"/>
    </xf>
    <xf numFmtId="0" fontId="4" fillId="0" borderId="48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/>
    </xf>
    <xf numFmtId="0" fontId="6" fillId="5" borderId="48" xfId="3" applyFont="1" applyFill="1" applyBorder="1" applyAlignment="1">
      <alignment horizontal="left" vertical="center" wrapText="1"/>
    </xf>
    <xf numFmtId="0" fontId="6" fillId="5" borderId="12" xfId="3" applyFont="1" applyFill="1" applyBorder="1" applyAlignment="1">
      <alignment horizontal="left" vertical="center" wrapText="1"/>
    </xf>
    <xf numFmtId="0" fontId="6" fillId="5" borderId="17" xfId="3" applyFont="1" applyFill="1" applyBorder="1" applyAlignment="1">
      <alignment horizontal="left" vertical="center" wrapText="1"/>
    </xf>
    <xf numFmtId="3" fontId="8" fillId="3" borderId="15" xfId="3" applyNumberFormat="1" applyFont="1" applyFill="1" applyBorder="1" applyAlignment="1">
      <alignment horizontal="center" vertical="center"/>
    </xf>
    <xf numFmtId="3" fontId="8" fillId="3" borderId="3" xfId="3" applyNumberFormat="1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 wrapText="1"/>
    </xf>
    <xf numFmtId="0" fontId="5" fillId="0" borderId="40" xfId="3" applyFont="1" applyFill="1" applyBorder="1" applyAlignment="1">
      <alignment horizontal="center" vertical="center" wrapText="1"/>
    </xf>
    <xf numFmtId="3" fontId="8" fillId="4" borderId="15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47" xfId="3" applyFont="1" applyFill="1" applyBorder="1" applyAlignment="1">
      <alignment horizontal="center" vertical="center"/>
    </xf>
    <xf numFmtId="3" fontId="8" fillId="3" borderId="31" xfId="3" applyNumberFormat="1" applyFont="1" applyFill="1" applyBorder="1" applyAlignment="1">
      <alignment horizontal="center" vertical="center"/>
    </xf>
    <xf numFmtId="3" fontId="8" fillId="3" borderId="0" xfId="3" applyNumberFormat="1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0" fontId="5" fillId="0" borderId="55" xfId="3" applyFont="1" applyFill="1" applyBorder="1" applyAlignment="1">
      <alignment horizontal="center" vertical="center"/>
    </xf>
    <xf numFmtId="3" fontId="8" fillId="3" borderId="44" xfId="3" applyNumberFormat="1" applyFont="1" applyFill="1" applyBorder="1" applyAlignment="1">
      <alignment horizontal="center" vertical="center"/>
    </xf>
    <xf numFmtId="3" fontId="8" fillId="3" borderId="16" xfId="3" applyNumberFormat="1" applyFont="1" applyFill="1" applyBorder="1" applyAlignment="1">
      <alignment horizontal="center" vertical="center"/>
    </xf>
    <xf numFmtId="3" fontId="8" fillId="2" borderId="44" xfId="3" applyNumberFormat="1" applyFont="1" applyFill="1" applyBorder="1" applyAlignment="1">
      <alignment horizontal="center" vertical="center"/>
    </xf>
    <xf numFmtId="3" fontId="8" fillId="2" borderId="16" xfId="3" applyNumberFormat="1" applyFont="1" applyFill="1" applyBorder="1" applyAlignment="1">
      <alignment horizontal="center" vertical="center"/>
    </xf>
    <xf numFmtId="0" fontId="5" fillId="0" borderId="45" xfId="3" applyFont="1" applyFill="1" applyBorder="1" applyAlignment="1">
      <alignment horizontal="center" vertical="center" wrapText="1"/>
    </xf>
    <xf numFmtId="0" fontId="5" fillId="0" borderId="56" xfId="3" applyFont="1" applyFill="1" applyBorder="1" applyAlignment="1">
      <alignment horizontal="center" vertical="center" wrapText="1"/>
    </xf>
    <xf numFmtId="3" fontId="8" fillId="3" borderId="42" xfId="3" applyNumberFormat="1" applyFont="1" applyFill="1" applyBorder="1" applyAlignment="1">
      <alignment horizontal="center" vertical="center"/>
    </xf>
    <xf numFmtId="3" fontId="8" fillId="3" borderId="18" xfId="3" applyNumberFormat="1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center" vertical="center"/>
    </xf>
    <xf numFmtId="3" fontId="8" fillId="8" borderId="15" xfId="3" applyNumberFormat="1" applyFont="1" applyFill="1" applyBorder="1" applyAlignment="1">
      <alignment horizontal="center" vertical="center"/>
    </xf>
    <xf numFmtId="3" fontId="8" fillId="8" borderId="3" xfId="3" applyNumberFormat="1" applyFont="1" applyFill="1" applyBorder="1" applyAlignment="1">
      <alignment horizontal="center" vertical="center"/>
    </xf>
    <xf numFmtId="3" fontId="8" fillId="8" borderId="4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5" fillId="6" borderId="19" xfId="3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42" xfId="3" applyFont="1" applyFill="1" applyBorder="1" applyAlignment="1">
      <alignment horizontal="center" vertical="center" wrapText="1"/>
    </xf>
    <xf numFmtId="0" fontId="3" fillId="0" borderId="4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5" fillId="0" borderId="55" xfId="3" applyFont="1" applyFill="1" applyBorder="1" applyAlignment="1">
      <alignment horizontal="center" vertical="center" wrapText="1"/>
    </xf>
    <xf numFmtId="0" fontId="37" fillId="9" borderId="0" xfId="1" applyFont="1" applyFill="1" applyAlignment="1" applyProtection="1"/>
    <xf numFmtId="0" fontId="0" fillId="9" borderId="0" xfId="0" applyFill="1"/>
    <xf numFmtId="0" fontId="0" fillId="0" borderId="0" xfId="0" applyFont="1"/>
    <xf numFmtId="0" fontId="46" fillId="0" borderId="0" xfId="0" applyFont="1" applyFill="1" applyBorder="1"/>
    <xf numFmtId="0" fontId="47" fillId="10" borderId="2" xfId="0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</xdr:row>
      <xdr:rowOff>190500</xdr:rowOff>
    </xdr:from>
    <xdr:to>
      <xdr:col>10</xdr:col>
      <xdr:colOff>1571625</xdr:colOff>
      <xdr:row>13</xdr:row>
      <xdr:rowOff>152401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1152525"/>
          <a:ext cx="3343275" cy="2400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619125</xdr:colOff>
      <xdr:row>15</xdr:row>
      <xdr:rowOff>28576</xdr:rowOff>
    </xdr:from>
    <xdr:to>
      <xdr:col>10</xdr:col>
      <xdr:colOff>1647825</xdr:colOff>
      <xdr:row>33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105525" y="3810001"/>
          <a:ext cx="3162300" cy="3400424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600" b="1" i="1" strike="noStrike">
              <a:solidFill>
                <a:srgbClr val="FF0000"/>
              </a:solidFill>
              <a:latin typeface="+mn-lt"/>
            </a:rPr>
            <a:t> </a:t>
          </a:r>
          <a:r>
            <a:rPr lang="ru-RU" sz="1600" b="1" i="1" strike="noStrike">
              <a:solidFill>
                <a:schemeClr val="tx1"/>
              </a:solidFill>
              <a:latin typeface="+mn-lt"/>
            </a:rPr>
            <a:t>1. Шина направляющая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2. Опорные</a:t>
          </a:r>
          <a:r>
            <a:rPr lang="ru-RU" sz="1600" b="1" i="1" strike="noStrike" baseline="0">
              <a:solidFill>
                <a:schemeClr val="tx1"/>
              </a:solidFill>
              <a:latin typeface="+mn-lt"/>
            </a:rPr>
            <a:t> </a:t>
          </a:r>
          <a:r>
            <a:rPr lang="ru-RU" sz="1600" b="1" i="1" strike="noStrike">
              <a:solidFill>
                <a:schemeClr val="tx1"/>
              </a:solidFill>
              <a:latin typeface="+mn-lt"/>
            </a:rPr>
            <a:t>ролики 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3. Полотно ворот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4. Столб опорный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5. Подерживающие</a:t>
          </a:r>
          <a:r>
            <a:rPr lang="ru-RU" sz="1600" b="1" i="1" strike="noStrike" baseline="0">
              <a:solidFill>
                <a:schemeClr val="tx1"/>
              </a:solidFill>
              <a:latin typeface="+mn-lt"/>
            </a:rPr>
            <a:t> ролики</a:t>
          </a:r>
          <a:r>
            <a:rPr lang="ru-RU" sz="1600" b="1" i="1" strike="noStrike">
              <a:solidFill>
                <a:schemeClr val="tx1"/>
              </a:solidFill>
              <a:latin typeface="+mn-lt"/>
            </a:rPr>
            <a:t>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6. Улавливатель</a:t>
          </a:r>
          <a:r>
            <a:rPr lang="en-US" sz="1600" b="1" i="1" strike="noStrike">
              <a:solidFill>
                <a:schemeClr val="tx1"/>
              </a:solidFill>
              <a:latin typeface="+mn-lt"/>
            </a:rPr>
            <a:t>*</a:t>
          </a:r>
          <a:r>
            <a:rPr lang="ru-RU" sz="1600" b="1" i="1" strike="noStrike" baseline="0">
              <a:solidFill>
                <a:schemeClr val="tx1"/>
              </a:solidFill>
              <a:latin typeface="+mn-lt"/>
            </a:rPr>
            <a:t>          верхний(</a:t>
          </a:r>
          <a:r>
            <a:rPr lang="en-US" sz="1600" b="1" i="1" strike="noStrike" baseline="0">
              <a:solidFill>
                <a:schemeClr val="tx1"/>
              </a:solidFill>
              <a:latin typeface="+mn-lt"/>
            </a:rPr>
            <a:t>h=1,8 </a:t>
          </a:r>
          <a:r>
            <a:rPr lang="ru-RU" sz="1600" b="1" i="1" strike="noStrike" baseline="0">
              <a:solidFill>
                <a:schemeClr val="tx1"/>
              </a:solidFill>
              <a:latin typeface="+mn-lt"/>
            </a:rPr>
            <a:t>и 2,0)</a:t>
          </a:r>
          <a:r>
            <a:rPr lang="ru-RU" sz="1600" b="1" i="1" strike="noStrike">
              <a:solidFill>
                <a:schemeClr val="tx1"/>
              </a:solidFill>
              <a:latin typeface="+mn-lt"/>
            </a:rPr>
            <a:t>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7. Улавливатель нижний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8. Зубчатая рейка* </a:t>
          </a:r>
        </a:p>
        <a:p>
          <a:pPr algn="l" rtl="1">
            <a:defRPr sz="1000"/>
          </a:pPr>
          <a:r>
            <a:rPr lang="ru-RU" sz="1600" b="1" i="1" strike="noStrike">
              <a:solidFill>
                <a:schemeClr val="tx1"/>
              </a:solidFill>
              <a:latin typeface="+mn-lt"/>
            </a:rPr>
            <a:t> 9. Электропривод*</a:t>
          </a:r>
        </a:p>
        <a:p>
          <a:pPr algn="l" rtl="1">
            <a:defRPr sz="1000"/>
          </a:pPr>
          <a:r>
            <a:rPr lang="en-US" sz="1600" b="1" i="1" strike="noStrike">
              <a:solidFill>
                <a:schemeClr val="tx1"/>
              </a:solidFill>
              <a:latin typeface="+mn-lt"/>
            </a:rPr>
            <a:t> </a:t>
          </a:r>
          <a:r>
            <a:rPr lang="ru-RU" sz="1600" b="1" i="1" strike="noStrike">
              <a:solidFill>
                <a:schemeClr val="tx1"/>
              </a:solidFill>
              <a:latin typeface="+mn-lt"/>
            </a:rPr>
            <a:t>10. Подушка с закладной деталью</a:t>
          </a:r>
        </a:p>
      </xdr:txBody>
    </xdr:sp>
    <xdr:clientData/>
  </xdr:twoCellAnchor>
  <xdr:twoCellAnchor editAs="oneCell">
    <xdr:from>
      <xdr:col>0</xdr:col>
      <xdr:colOff>704850</xdr:colOff>
      <xdr:row>58</xdr:row>
      <xdr:rowOff>28575</xdr:rowOff>
    </xdr:from>
    <xdr:to>
      <xdr:col>10</xdr:col>
      <xdr:colOff>704850</xdr:colOff>
      <xdr:row>80</xdr:row>
      <xdr:rowOff>114300</xdr:rowOff>
    </xdr:to>
    <xdr:pic>
      <xdr:nvPicPr>
        <xdr:cNvPr id="1027" name="Picture 3" descr="http://www.vorotaspb.ru/Samodeln/vorota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2001500"/>
          <a:ext cx="7620000" cy="428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51</xdr:row>
      <xdr:rowOff>0</xdr:rowOff>
    </xdr:from>
    <xdr:to>
      <xdr:col>10</xdr:col>
      <xdr:colOff>304800</xdr:colOff>
      <xdr:row>63</xdr:row>
      <xdr:rowOff>57150</xdr:rowOff>
    </xdr:to>
    <xdr:pic>
      <xdr:nvPicPr>
        <xdr:cNvPr id="8193" name="Рисунок 5" descr="kalitka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10753725"/>
          <a:ext cx="18478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2</xdr:row>
      <xdr:rowOff>95250</xdr:rowOff>
    </xdr:from>
    <xdr:to>
      <xdr:col>12</xdr:col>
      <xdr:colOff>333375</xdr:colOff>
      <xdr:row>12</xdr:row>
      <xdr:rowOff>133350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24550" y="1323975"/>
          <a:ext cx="37814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936625</xdr:colOff>
      <xdr:row>54</xdr:row>
      <xdr:rowOff>447107</xdr:rowOff>
    </xdr:from>
    <xdr:to>
      <xdr:col>4</xdr:col>
      <xdr:colOff>1889125</xdr:colOff>
      <xdr:row>54</xdr:row>
      <xdr:rowOff>618557</xdr:rowOff>
    </xdr:to>
    <xdr:sp macro="" textlink="">
      <xdr:nvSpPr>
        <xdr:cNvPr id="4" name="Стрелка вправо 3"/>
        <xdr:cNvSpPr/>
      </xdr:nvSpPr>
      <xdr:spPr>
        <a:xfrm>
          <a:off x="8832850" y="26259857"/>
          <a:ext cx="95250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54</xdr:row>
      <xdr:rowOff>249918</xdr:rowOff>
    </xdr:from>
    <xdr:to>
      <xdr:col>4</xdr:col>
      <xdr:colOff>337221</xdr:colOff>
      <xdr:row>54</xdr:row>
      <xdr:rowOff>649968</xdr:rowOff>
    </xdr:to>
    <xdr:sp macro="" textlink="">
      <xdr:nvSpPr>
        <xdr:cNvPr id="5" name="Стрелка вниз 4"/>
        <xdr:cNvSpPr/>
      </xdr:nvSpPr>
      <xdr:spPr>
        <a:xfrm>
          <a:off x="7939314" y="2606266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428625</xdr:colOff>
      <xdr:row>24</xdr:row>
      <xdr:rowOff>381000</xdr:rowOff>
    </xdr:from>
    <xdr:to>
      <xdr:col>2</xdr:col>
      <xdr:colOff>685800</xdr:colOff>
      <xdr:row>32</xdr:row>
      <xdr:rowOff>419100</xdr:rowOff>
    </xdr:to>
    <xdr:pic>
      <xdr:nvPicPr>
        <xdr:cNvPr id="921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078200"/>
          <a:ext cx="5543550" cy="435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936625</xdr:colOff>
      <xdr:row>63</xdr:row>
      <xdr:rowOff>474321</xdr:rowOff>
    </xdr:from>
    <xdr:to>
      <xdr:col>4</xdr:col>
      <xdr:colOff>1889125</xdr:colOff>
      <xdr:row>63</xdr:row>
      <xdr:rowOff>645771</xdr:rowOff>
    </xdr:to>
    <xdr:sp macro="" textlink="">
      <xdr:nvSpPr>
        <xdr:cNvPr id="12" name="Стрелка вправо 11"/>
        <xdr:cNvSpPr/>
      </xdr:nvSpPr>
      <xdr:spPr>
        <a:xfrm>
          <a:off x="8832850" y="29392221"/>
          <a:ext cx="95250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63</xdr:row>
      <xdr:rowOff>249918</xdr:rowOff>
    </xdr:from>
    <xdr:to>
      <xdr:col>4</xdr:col>
      <xdr:colOff>337221</xdr:colOff>
      <xdr:row>63</xdr:row>
      <xdr:rowOff>649968</xdr:rowOff>
    </xdr:to>
    <xdr:sp macro="" textlink="">
      <xdr:nvSpPr>
        <xdr:cNvPr id="13" name="Стрелка вниз 12"/>
        <xdr:cNvSpPr/>
      </xdr:nvSpPr>
      <xdr:spPr>
        <a:xfrm>
          <a:off x="7939314" y="2916781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936625</xdr:colOff>
      <xdr:row>72</xdr:row>
      <xdr:rowOff>487928</xdr:rowOff>
    </xdr:from>
    <xdr:to>
      <xdr:col>4</xdr:col>
      <xdr:colOff>1889125</xdr:colOff>
      <xdr:row>72</xdr:row>
      <xdr:rowOff>659378</xdr:rowOff>
    </xdr:to>
    <xdr:sp macro="" textlink="">
      <xdr:nvSpPr>
        <xdr:cNvPr id="14" name="Стрелка вправо 13"/>
        <xdr:cNvSpPr/>
      </xdr:nvSpPr>
      <xdr:spPr>
        <a:xfrm>
          <a:off x="8832850" y="32320478"/>
          <a:ext cx="95250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72</xdr:row>
      <xdr:rowOff>249918</xdr:rowOff>
    </xdr:from>
    <xdr:to>
      <xdr:col>4</xdr:col>
      <xdr:colOff>337221</xdr:colOff>
      <xdr:row>72</xdr:row>
      <xdr:rowOff>649968</xdr:rowOff>
    </xdr:to>
    <xdr:sp macro="" textlink="">
      <xdr:nvSpPr>
        <xdr:cNvPr id="15" name="Стрелка вниз 14"/>
        <xdr:cNvSpPr/>
      </xdr:nvSpPr>
      <xdr:spPr>
        <a:xfrm>
          <a:off x="7939314" y="3208246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81</xdr:row>
      <xdr:rowOff>249918</xdr:rowOff>
    </xdr:from>
    <xdr:to>
      <xdr:col>4</xdr:col>
      <xdr:colOff>337221</xdr:colOff>
      <xdr:row>81</xdr:row>
      <xdr:rowOff>649968</xdr:rowOff>
    </xdr:to>
    <xdr:sp macro="" textlink="">
      <xdr:nvSpPr>
        <xdr:cNvPr id="16" name="Стрелка вниз 15"/>
        <xdr:cNvSpPr/>
      </xdr:nvSpPr>
      <xdr:spPr>
        <a:xfrm>
          <a:off x="7939314" y="3522571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63</xdr:row>
      <xdr:rowOff>249918</xdr:rowOff>
    </xdr:from>
    <xdr:to>
      <xdr:col>4</xdr:col>
      <xdr:colOff>337221</xdr:colOff>
      <xdr:row>63</xdr:row>
      <xdr:rowOff>649968</xdr:rowOff>
    </xdr:to>
    <xdr:sp macro="" textlink="">
      <xdr:nvSpPr>
        <xdr:cNvPr id="17" name="Стрелка вниз 16"/>
        <xdr:cNvSpPr/>
      </xdr:nvSpPr>
      <xdr:spPr>
        <a:xfrm>
          <a:off x="7939314" y="2916781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72</xdr:row>
      <xdr:rowOff>249918</xdr:rowOff>
    </xdr:from>
    <xdr:to>
      <xdr:col>4</xdr:col>
      <xdr:colOff>337221</xdr:colOff>
      <xdr:row>72</xdr:row>
      <xdr:rowOff>649968</xdr:rowOff>
    </xdr:to>
    <xdr:sp macro="" textlink="">
      <xdr:nvSpPr>
        <xdr:cNvPr id="18" name="Стрелка вниз 17"/>
        <xdr:cNvSpPr/>
      </xdr:nvSpPr>
      <xdr:spPr>
        <a:xfrm>
          <a:off x="7939314" y="3208246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936625</xdr:colOff>
      <xdr:row>81</xdr:row>
      <xdr:rowOff>542356</xdr:rowOff>
    </xdr:from>
    <xdr:to>
      <xdr:col>4</xdr:col>
      <xdr:colOff>1889125</xdr:colOff>
      <xdr:row>81</xdr:row>
      <xdr:rowOff>713806</xdr:rowOff>
    </xdr:to>
    <xdr:sp macro="" textlink="">
      <xdr:nvSpPr>
        <xdr:cNvPr id="19" name="Стрелка вправо 18"/>
        <xdr:cNvSpPr/>
      </xdr:nvSpPr>
      <xdr:spPr>
        <a:xfrm>
          <a:off x="8832850" y="35518156"/>
          <a:ext cx="952500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43089</xdr:colOff>
      <xdr:row>81</xdr:row>
      <xdr:rowOff>249918</xdr:rowOff>
    </xdr:from>
    <xdr:to>
      <xdr:col>4</xdr:col>
      <xdr:colOff>337221</xdr:colOff>
      <xdr:row>81</xdr:row>
      <xdr:rowOff>649968</xdr:rowOff>
    </xdr:to>
    <xdr:sp macro="" textlink="">
      <xdr:nvSpPr>
        <xdr:cNvPr id="20" name="Стрелка вниз 19"/>
        <xdr:cNvSpPr/>
      </xdr:nvSpPr>
      <xdr:spPr>
        <a:xfrm>
          <a:off x="7939314" y="35225718"/>
          <a:ext cx="294132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2</xdr:col>
      <xdr:colOff>804333</xdr:colOff>
      <xdr:row>25</xdr:row>
      <xdr:rowOff>27213</xdr:rowOff>
    </xdr:from>
    <xdr:to>
      <xdr:col>5</xdr:col>
      <xdr:colOff>748392</xdr:colOff>
      <xdr:row>28</xdr:row>
      <xdr:rowOff>381000</xdr:rowOff>
    </xdr:to>
    <xdr:pic>
      <xdr:nvPicPr>
        <xdr:cNvPr id="1026" name="Picture 2" descr="Картинки по запросу забор из металлического штакетника минс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7512" y="13511892"/>
          <a:ext cx="4502451" cy="202746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806902</xdr:colOff>
      <xdr:row>28</xdr:row>
      <xdr:rowOff>534760</xdr:rowOff>
    </xdr:from>
    <xdr:to>
      <xdr:col>5</xdr:col>
      <xdr:colOff>734786</xdr:colOff>
      <xdr:row>32</xdr:row>
      <xdr:rowOff>416378</xdr:rowOff>
    </xdr:to>
    <xdr:pic>
      <xdr:nvPicPr>
        <xdr:cNvPr id="1027" name="Picture 3" descr="http://kroves.ru/wp-content/uploads/shtaketnik-metalliceskiy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00081" y="15693117"/>
          <a:ext cx="4486276" cy="211319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44</xdr:row>
      <xdr:rowOff>66675</xdr:rowOff>
    </xdr:from>
    <xdr:to>
      <xdr:col>11</xdr:col>
      <xdr:colOff>447675</xdr:colOff>
      <xdr:row>56</xdr:row>
      <xdr:rowOff>123825</xdr:rowOff>
    </xdr:to>
    <xdr:pic>
      <xdr:nvPicPr>
        <xdr:cNvPr id="2" name="Рисунок 5" descr="kalitka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9191625"/>
          <a:ext cx="18478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30</xdr:row>
      <xdr:rowOff>171450</xdr:rowOff>
    </xdr:from>
    <xdr:to>
      <xdr:col>14</xdr:col>
      <xdr:colOff>485775</xdr:colOff>
      <xdr:row>41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7300" y="6553200"/>
          <a:ext cx="37814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200025</xdr:colOff>
      <xdr:row>2</xdr:row>
      <xdr:rowOff>57150</xdr:rowOff>
    </xdr:from>
    <xdr:to>
      <xdr:col>13</xdr:col>
      <xdr:colOff>495300</xdr:colOff>
      <xdr:row>14</xdr:row>
      <xdr:rowOff>171451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5375" y="1104900"/>
          <a:ext cx="3343275" cy="2400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vka-grodno.b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vka-grodno.b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kovka-grodno.by/" TargetMode="External"/><Relationship Id="rId1" Type="http://schemas.openxmlformats.org/officeDocument/2006/relationships/hyperlink" Target="http://www.unistrade.bi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vka-grodno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view="pageBreakPreview" zoomScaleSheetLayoutView="100" workbookViewId="0">
      <selection activeCell="G51" sqref="G51"/>
    </sheetView>
  </sheetViews>
  <sheetFormatPr defaultRowHeight="15"/>
  <cols>
    <col min="1" max="6" width="13.7109375" customWidth="1"/>
    <col min="7" max="7" width="15.140625" customWidth="1"/>
    <col min="8" max="8" width="6.28515625" customWidth="1"/>
    <col min="9" max="9" width="5.5703125" customWidth="1"/>
    <col min="10" max="10" width="5" customWidth="1"/>
    <col min="11" max="11" width="26.28515625" customWidth="1"/>
    <col min="13" max="13" width="9.28515625" bestFit="1" customWidth="1"/>
    <col min="14" max="14" width="9.5703125" bestFit="1" customWidth="1"/>
    <col min="15" max="15" width="4.28515625" customWidth="1"/>
    <col min="16" max="16" width="4.85546875" customWidth="1"/>
    <col min="17" max="17" width="27.5703125" customWidth="1"/>
    <col min="19" max="19" width="9.28515625" bestFit="1" customWidth="1"/>
    <col min="20" max="20" width="9.5703125" bestFit="1" customWidth="1"/>
    <col min="23" max="23" width="25.85546875" customWidth="1"/>
    <col min="25" max="25" width="9.28515625" bestFit="1" customWidth="1"/>
    <col min="26" max="26" width="9.5703125" bestFit="1" customWidth="1"/>
  </cols>
  <sheetData>
    <row r="1" spans="1:29" s="116" customFormat="1" ht="75.75" customHeight="1">
      <c r="A1" s="156" t="s">
        <v>114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29" s="116" customFormat="1" ht="21">
      <c r="A2" s="151" t="s">
        <v>66</v>
      </c>
      <c r="B2" s="151"/>
      <c r="C2" s="151"/>
      <c r="D2" s="151"/>
      <c r="E2" s="152"/>
      <c r="F2" s="152"/>
      <c r="G2" s="117"/>
      <c r="H2" s="117"/>
    </row>
    <row r="3" spans="1:29" s="116" customFormat="1" ht="21">
      <c r="A3" s="118"/>
      <c r="B3" s="118"/>
      <c r="C3" s="118"/>
      <c r="D3" s="118"/>
      <c r="E3" s="118"/>
      <c r="F3" s="118"/>
      <c r="G3" s="118"/>
      <c r="H3" s="118"/>
    </row>
    <row r="4" spans="1:29" s="116" customFormat="1">
      <c r="A4" s="147" t="s">
        <v>68</v>
      </c>
      <c r="B4" s="147"/>
      <c r="C4" s="147"/>
      <c r="D4" s="147"/>
      <c r="E4" s="147"/>
      <c r="F4" s="147"/>
      <c r="G4" s="119"/>
      <c r="H4" s="119"/>
    </row>
    <row r="5" spans="1:29" s="116" customFormat="1">
      <c r="A5" s="120"/>
      <c r="B5" s="120"/>
      <c r="C5" s="120"/>
      <c r="D5" s="120"/>
      <c r="E5" s="120"/>
      <c r="F5" s="120"/>
      <c r="G5" s="120"/>
      <c r="H5" s="120"/>
    </row>
    <row r="6" spans="1:29" s="116" customFormat="1">
      <c r="A6" s="158" t="s">
        <v>71</v>
      </c>
      <c r="B6" s="158"/>
      <c r="C6" s="158"/>
      <c r="D6" s="158"/>
      <c r="E6" s="158"/>
      <c r="F6" s="158"/>
      <c r="G6" s="119"/>
      <c r="H6" s="119"/>
    </row>
    <row r="7" spans="1:29" s="116" customFormat="1">
      <c r="A7" s="148" t="s">
        <v>123</v>
      </c>
      <c r="B7" s="149"/>
      <c r="C7" s="148" t="s">
        <v>124</v>
      </c>
      <c r="D7" s="149"/>
      <c r="E7" s="148" t="s">
        <v>69</v>
      </c>
      <c r="F7" s="149"/>
      <c r="G7" s="120"/>
      <c r="H7" s="120"/>
    </row>
    <row r="8" spans="1:29" s="116" customFormat="1">
      <c r="A8" s="121" t="s">
        <v>75</v>
      </c>
      <c r="B8" s="121" t="s">
        <v>67</v>
      </c>
      <c r="C8" s="121" t="s">
        <v>75</v>
      </c>
      <c r="D8" s="121" t="s">
        <v>67</v>
      </c>
      <c r="E8" s="121" t="s">
        <v>75</v>
      </c>
      <c r="F8" s="124" t="s">
        <v>67</v>
      </c>
      <c r="G8" s="120"/>
      <c r="H8" s="120"/>
      <c r="K8" s="122"/>
      <c r="L8" s="122"/>
      <c r="M8" s="122"/>
      <c r="N8" s="122"/>
      <c r="O8" s="123"/>
      <c r="P8" s="123"/>
      <c r="Q8" s="122"/>
      <c r="R8" s="122"/>
      <c r="S8" s="122"/>
      <c r="T8" s="122"/>
      <c r="U8" s="123"/>
      <c r="V8" s="123"/>
      <c r="W8" s="122"/>
      <c r="X8" s="122"/>
      <c r="Y8" s="122"/>
      <c r="Z8" s="122"/>
      <c r="AA8" s="123"/>
      <c r="AB8" s="123"/>
      <c r="AC8" s="123"/>
    </row>
    <row r="9" spans="1:29" s="116" customFormat="1">
      <c r="A9" s="125" t="s">
        <v>125</v>
      </c>
      <c r="B9" s="126">
        <v>11250000</v>
      </c>
      <c r="C9" s="125" t="s">
        <v>125</v>
      </c>
      <c r="D9" s="126">
        <v>11430000</v>
      </c>
      <c r="E9" s="125" t="s">
        <v>125</v>
      </c>
      <c r="F9" s="126">
        <v>11610000</v>
      </c>
      <c r="G9" s="128"/>
      <c r="H9" s="128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</row>
    <row r="10" spans="1:29" s="116" customFormat="1">
      <c r="A10" s="125" t="s">
        <v>129</v>
      </c>
      <c r="B10" s="126">
        <v>11700000</v>
      </c>
      <c r="C10" s="125" t="s">
        <v>126</v>
      </c>
      <c r="D10" s="126">
        <v>11970000</v>
      </c>
      <c r="E10" s="125" t="s">
        <v>129</v>
      </c>
      <c r="F10" s="126">
        <v>12150000</v>
      </c>
      <c r="G10" s="128"/>
      <c r="H10" s="128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</row>
    <row r="11" spans="1:29" s="116" customFormat="1">
      <c r="A11" s="125" t="s">
        <v>127</v>
      </c>
      <c r="B11" s="126">
        <v>12150000</v>
      </c>
      <c r="C11" s="125" t="s">
        <v>127</v>
      </c>
      <c r="D11" s="126">
        <v>12420000</v>
      </c>
      <c r="E11" s="125" t="s">
        <v>127</v>
      </c>
      <c r="F11" s="126">
        <v>12690000</v>
      </c>
      <c r="G11" s="128"/>
      <c r="H11" s="128"/>
    </row>
    <row r="12" spans="1:29" s="116" customFormat="1">
      <c r="A12" s="125" t="s">
        <v>128</v>
      </c>
      <c r="B12" s="126">
        <v>12600000</v>
      </c>
      <c r="C12" s="125" t="s">
        <v>128</v>
      </c>
      <c r="D12" s="126">
        <v>12780000</v>
      </c>
      <c r="E12" s="125" t="s">
        <v>128</v>
      </c>
      <c r="F12" s="126">
        <v>13050000</v>
      </c>
      <c r="G12" s="128"/>
      <c r="H12" s="128"/>
    </row>
    <row r="13" spans="1:29" s="116" customFormat="1">
      <c r="A13" s="127"/>
      <c r="B13" s="129"/>
      <c r="C13" s="127"/>
      <c r="D13" s="123"/>
      <c r="E13" s="127"/>
      <c r="F13" s="129"/>
      <c r="G13" s="128"/>
      <c r="H13" s="128"/>
    </row>
    <row r="14" spans="1:29" s="116" customFormat="1">
      <c r="A14" s="127"/>
      <c r="B14" s="129"/>
      <c r="E14" s="130"/>
      <c r="F14" s="131"/>
      <c r="G14" s="128"/>
      <c r="H14" s="128"/>
    </row>
    <row r="15" spans="1:29" s="116" customFormat="1">
      <c r="A15" s="153" t="s">
        <v>70</v>
      </c>
      <c r="B15" s="154"/>
      <c r="C15" s="154"/>
      <c r="D15" s="154"/>
      <c r="E15" s="154"/>
      <c r="F15" s="155"/>
      <c r="G15" s="119"/>
      <c r="H15" s="119"/>
    </row>
    <row r="16" spans="1:29" s="116" customFormat="1">
      <c r="A16" s="148" t="s">
        <v>123</v>
      </c>
      <c r="B16" s="149"/>
      <c r="C16" s="148" t="s">
        <v>124</v>
      </c>
      <c r="D16" s="149"/>
      <c r="E16" s="148" t="s">
        <v>69</v>
      </c>
      <c r="F16" s="149"/>
      <c r="G16" s="120"/>
      <c r="H16" s="120"/>
    </row>
    <row r="17" spans="1:8" s="116" customFormat="1">
      <c r="A17" s="121" t="s">
        <v>75</v>
      </c>
      <c r="B17" s="121" t="s">
        <v>67</v>
      </c>
      <c r="C17" s="121" t="s">
        <v>75</v>
      </c>
      <c r="D17" s="121" t="s">
        <v>67</v>
      </c>
      <c r="E17" s="121" t="s">
        <v>75</v>
      </c>
      <c r="F17" s="124" t="s">
        <v>67</v>
      </c>
      <c r="G17" s="120"/>
      <c r="H17" s="120"/>
    </row>
    <row r="18" spans="1:8" s="116" customFormat="1">
      <c r="A18" s="125" t="s">
        <v>125</v>
      </c>
      <c r="B18" s="126">
        <v>12380000</v>
      </c>
      <c r="C18" s="125" t="s">
        <v>125</v>
      </c>
      <c r="D18" s="126">
        <v>12550000</v>
      </c>
      <c r="E18" s="125" t="s">
        <v>125</v>
      </c>
      <c r="F18" s="126">
        <v>12780000</v>
      </c>
      <c r="G18" s="128"/>
      <c r="H18" s="128"/>
    </row>
    <row r="19" spans="1:8" s="116" customFormat="1">
      <c r="A19" s="125" t="s">
        <v>129</v>
      </c>
      <c r="B19" s="126">
        <v>12870000</v>
      </c>
      <c r="C19" s="125" t="s">
        <v>126</v>
      </c>
      <c r="D19" s="126">
        <v>13200000</v>
      </c>
      <c r="E19" s="125" t="s">
        <v>129</v>
      </c>
      <c r="F19" s="126">
        <v>13400000</v>
      </c>
      <c r="G19" s="128"/>
      <c r="H19" s="128"/>
    </row>
    <row r="20" spans="1:8" s="116" customFormat="1">
      <c r="A20" s="125" t="s">
        <v>127</v>
      </c>
      <c r="B20" s="126">
        <v>13370000</v>
      </c>
      <c r="C20" s="125" t="s">
        <v>127</v>
      </c>
      <c r="D20" s="126">
        <v>13680000</v>
      </c>
      <c r="E20" s="125" t="s">
        <v>127</v>
      </c>
      <c r="F20" s="126">
        <v>13950000</v>
      </c>
      <c r="G20" s="128"/>
      <c r="H20" s="128"/>
    </row>
    <row r="21" spans="1:8" s="116" customFormat="1">
      <c r="A21" s="125" t="s">
        <v>128</v>
      </c>
      <c r="B21" s="126">
        <v>13860000</v>
      </c>
      <c r="C21" s="125" t="s">
        <v>128</v>
      </c>
      <c r="D21" s="126">
        <v>14050000</v>
      </c>
      <c r="E21" s="125" t="s">
        <v>128</v>
      </c>
      <c r="F21" s="126">
        <v>14300000</v>
      </c>
      <c r="G21" s="128"/>
      <c r="H21" s="128"/>
    </row>
    <row r="22" spans="1:8" s="116" customFormat="1">
      <c r="A22" s="127"/>
      <c r="B22" s="129"/>
      <c r="C22" s="127"/>
      <c r="D22" s="123"/>
      <c r="E22" s="127"/>
      <c r="F22" s="129"/>
      <c r="G22" s="128"/>
      <c r="H22" s="128"/>
    </row>
    <row r="23" spans="1:8" s="116" customFormat="1">
      <c r="A23" s="127"/>
      <c r="B23" s="129"/>
      <c r="E23" s="130"/>
      <c r="F23" s="131"/>
      <c r="G23" s="128"/>
      <c r="H23" s="128"/>
    </row>
    <row r="24" spans="1:8" s="116" customFormat="1">
      <c r="A24" s="147" t="s">
        <v>72</v>
      </c>
      <c r="B24" s="147"/>
      <c r="C24" s="147"/>
      <c r="D24" s="147"/>
      <c r="E24" s="147"/>
      <c r="F24" s="147"/>
      <c r="G24" s="119"/>
      <c r="H24" s="119"/>
    </row>
    <row r="25" spans="1:8" s="116" customFormat="1">
      <c r="A25" s="120"/>
      <c r="B25" s="120"/>
      <c r="C25" s="120"/>
      <c r="D25" s="120"/>
      <c r="E25" s="120"/>
      <c r="F25" s="120"/>
      <c r="G25" s="120"/>
      <c r="H25" s="120"/>
    </row>
    <row r="26" spans="1:8" s="116" customFormat="1">
      <c r="A26" s="146" t="s">
        <v>71</v>
      </c>
      <c r="B26" s="146"/>
      <c r="C26" s="146"/>
      <c r="D26" s="146"/>
      <c r="E26" s="146"/>
      <c r="F26" s="146"/>
      <c r="G26" s="119"/>
      <c r="H26" s="119"/>
    </row>
    <row r="27" spans="1:8" s="116" customFormat="1">
      <c r="A27" s="148" t="s">
        <v>123</v>
      </c>
      <c r="B27" s="149"/>
      <c r="C27" s="148" t="s">
        <v>124</v>
      </c>
      <c r="D27" s="149"/>
      <c r="E27" s="148" t="s">
        <v>69</v>
      </c>
      <c r="F27" s="149"/>
      <c r="G27" s="120"/>
      <c r="H27" s="120"/>
    </row>
    <row r="28" spans="1:8" s="116" customFormat="1">
      <c r="A28" s="121" t="s">
        <v>75</v>
      </c>
      <c r="B28" s="121" t="s">
        <v>67</v>
      </c>
      <c r="C28" s="121" t="s">
        <v>75</v>
      </c>
      <c r="D28" s="121" t="s">
        <v>67</v>
      </c>
      <c r="E28" s="121" t="s">
        <v>75</v>
      </c>
      <c r="F28" s="124" t="s">
        <v>67</v>
      </c>
      <c r="G28" s="120"/>
      <c r="H28" s="120"/>
    </row>
    <row r="29" spans="1:8" s="116" customFormat="1">
      <c r="A29" s="125" t="s">
        <v>125</v>
      </c>
      <c r="B29" s="126">
        <v>11340000</v>
      </c>
      <c r="C29" s="125" t="s">
        <v>125</v>
      </c>
      <c r="D29" s="126">
        <v>11600000</v>
      </c>
      <c r="E29" s="125" t="s">
        <v>125</v>
      </c>
      <c r="F29" s="126">
        <v>11790000</v>
      </c>
      <c r="G29" s="128"/>
      <c r="H29" s="128"/>
    </row>
    <row r="30" spans="1:8" s="116" customFormat="1">
      <c r="A30" s="125" t="s">
        <v>129</v>
      </c>
      <c r="B30" s="126">
        <v>11700000</v>
      </c>
      <c r="C30" s="125" t="s">
        <v>126</v>
      </c>
      <c r="D30" s="126">
        <v>11970000</v>
      </c>
      <c r="E30" s="125" t="s">
        <v>129</v>
      </c>
      <c r="F30" s="126">
        <v>12150000</v>
      </c>
      <c r="G30" s="128"/>
      <c r="H30" s="128"/>
    </row>
    <row r="31" spans="1:8" s="116" customFormat="1">
      <c r="A31" s="125" t="s">
        <v>127</v>
      </c>
      <c r="B31" s="126">
        <v>12150000</v>
      </c>
      <c r="C31" s="125" t="s">
        <v>127</v>
      </c>
      <c r="D31" s="126">
        <v>12600000</v>
      </c>
      <c r="E31" s="125" t="s">
        <v>127</v>
      </c>
      <c r="F31" s="126">
        <v>12690000</v>
      </c>
      <c r="G31" s="128"/>
      <c r="H31" s="128"/>
    </row>
    <row r="32" spans="1:8" s="116" customFormat="1">
      <c r="A32" s="125" t="s">
        <v>128</v>
      </c>
      <c r="B32" s="126">
        <v>12600000</v>
      </c>
      <c r="C32" s="125" t="s">
        <v>128</v>
      </c>
      <c r="D32" s="126">
        <v>13150000</v>
      </c>
      <c r="E32" s="125" t="s">
        <v>128</v>
      </c>
      <c r="F32" s="126">
        <v>13050000</v>
      </c>
      <c r="G32" s="128"/>
      <c r="H32" s="128"/>
    </row>
    <row r="33" spans="1:8" s="116" customFormat="1">
      <c r="A33" s="23"/>
      <c r="B33" s="22"/>
      <c r="C33" s="23"/>
      <c r="D33" s="4"/>
      <c r="E33" s="23"/>
      <c r="F33" s="22"/>
      <c r="G33" s="128"/>
      <c r="H33" s="128"/>
    </row>
    <row r="34" spans="1:8" s="116" customFormat="1">
      <c r="A34" s="23"/>
      <c r="B34" s="22"/>
      <c r="C34" s="143"/>
      <c r="D34" s="4"/>
      <c r="E34" s="23"/>
      <c r="F34" s="22"/>
      <c r="G34" s="128"/>
      <c r="H34" s="128"/>
    </row>
    <row r="35" spans="1:8" s="116" customFormat="1">
      <c r="A35" s="146" t="s">
        <v>70</v>
      </c>
      <c r="B35" s="146"/>
      <c r="C35" s="146"/>
      <c r="D35" s="146"/>
      <c r="E35" s="146"/>
      <c r="F35" s="146"/>
      <c r="G35" s="119"/>
      <c r="H35" s="119"/>
    </row>
    <row r="36" spans="1:8" s="116" customFormat="1">
      <c r="A36" s="148" t="s">
        <v>123</v>
      </c>
      <c r="B36" s="149"/>
      <c r="C36" s="148" t="s">
        <v>124</v>
      </c>
      <c r="D36" s="149"/>
      <c r="E36" s="148" t="s">
        <v>69</v>
      </c>
      <c r="F36" s="149"/>
      <c r="G36" s="120"/>
      <c r="H36" s="120"/>
    </row>
    <row r="37" spans="1:8">
      <c r="A37" s="121" t="s">
        <v>75</v>
      </c>
      <c r="B37" s="121" t="s">
        <v>67</v>
      </c>
      <c r="C37" s="121" t="s">
        <v>75</v>
      </c>
      <c r="D37" s="121" t="s">
        <v>67</v>
      </c>
      <c r="E37" s="121" t="s">
        <v>75</v>
      </c>
      <c r="F37" s="124" t="s">
        <v>67</v>
      </c>
      <c r="G37" s="39"/>
      <c r="H37" s="39"/>
    </row>
    <row r="38" spans="1:8">
      <c r="A38" s="125" t="s">
        <v>125</v>
      </c>
      <c r="B38" s="126">
        <v>13350000</v>
      </c>
      <c r="C38" s="125" t="s">
        <v>125</v>
      </c>
      <c r="D38" s="126">
        <v>13500000</v>
      </c>
      <c r="E38" s="125" t="s">
        <v>125</v>
      </c>
      <c r="F38" s="126">
        <v>13950000</v>
      </c>
      <c r="G38" s="40"/>
      <c r="H38" s="40"/>
    </row>
    <row r="39" spans="1:8">
      <c r="A39" s="125" t="s">
        <v>129</v>
      </c>
      <c r="B39" s="126">
        <v>13860000</v>
      </c>
      <c r="C39" s="125" t="s">
        <v>126</v>
      </c>
      <c r="D39" s="126">
        <v>14220000</v>
      </c>
      <c r="E39" s="125" t="s">
        <v>129</v>
      </c>
      <c r="F39" s="126">
        <v>14500000</v>
      </c>
      <c r="G39" s="40"/>
      <c r="H39" s="40"/>
    </row>
    <row r="40" spans="1:8">
      <c r="A40" s="125" t="s">
        <v>127</v>
      </c>
      <c r="B40" s="126">
        <v>14400000</v>
      </c>
      <c r="C40" s="125" t="s">
        <v>127</v>
      </c>
      <c r="D40" s="126">
        <v>14850000</v>
      </c>
      <c r="E40" s="125" t="s">
        <v>127</v>
      </c>
      <c r="F40" s="126">
        <v>15200000</v>
      </c>
      <c r="G40" s="28"/>
      <c r="H40" s="28"/>
    </row>
    <row r="41" spans="1:8">
      <c r="A41" s="125" t="s">
        <v>128</v>
      </c>
      <c r="B41" s="126">
        <v>14850000</v>
      </c>
      <c r="C41" s="125" t="s">
        <v>128</v>
      </c>
      <c r="D41" s="126">
        <v>15300000</v>
      </c>
      <c r="E41" s="125" t="s">
        <v>128</v>
      </c>
      <c r="F41" s="126">
        <v>15750000</v>
      </c>
      <c r="G41" s="28"/>
      <c r="H41" s="28"/>
    </row>
    <row r="42" spans="1:8">
      <c r="A42" s="150" t="s">
        <v>130</v>
      </c>
      <c r="B42" s="150"/>
      <c r="C42" s="150"/>
      <c r="D42" s="150"/>
      <c r="E42" s="150"/>
      <c r="F42" s="150"/>
      <c r="G42" s="28"/>
      <c r="H42" s="28"/>
    </row>
    <row r="43" spans="1:8">
      <c r="G43" s="28"/>
      <c r="H43" s="28"/>
    </row>
    <row r="44" spans="1:8">
      <c r="A44" s="40"/>
      <c r="B44" s="40"/>
      <c r="C44" s="40"/>
      <c r="D44" s="40"/>
      <c r="E44" s="40"/>
      <c r="F44" s="40"/>
      <c r="G44" s="28"/>
      <c r="H44" s="28"/>
    </row>
    <row r="45" spans="1:8">
      <c r="G45" s="28"/>
      <c r="H45" s="28"/>
    </row>
    <row r="46" spans="1:8">
      <c r="G46" s="39"/>
      <c r="H46" s="39"/>
    </row>
    <row r="47" spans="1:8">
      <c r="A47" t="s">
        <v>146</v>
      </c>
      <c r="G47" s="40"/>
      <c r="H47" s="40"/>
    </row>
    <row r="48" spans="1:8">
      <c r="G48" s="40"/>
      <c r="H48" s="40"/>
    </row>
    <row r="49" spans="1:8">
      <c r="A49" t="s">
        <v>147</v>
      </c>
      <c r="G49" s="28"/>
      <c r="H49" s="28"/>
    </row>
    <row r="50" spans="1:8">
      <c r="A50" t="s">
        <v>163</v>
      </c>
      <c r="G50" s="28"/>
      <c r="H50" s="28"/>
    </row>
    <row r="51" spans="1:8">
      <c r="A51" t="s">
        <v>149</v>
      </c>
      <c r="G51" s="28"/>
      <c r="H51" s="28"/>
    </row>
    <row r="52" spans="1:8">
      <c r="A52" t="s">
        <v>150</v>
      </c>
      <c r="G52" s="28"/>
      <c r="H52" s="28"/>
    </row>
    <row r="53" spans="1:8">
      <c r="A53" t="s">
        <v>151</v>
      </c>
      <c r="G53" s="28"/>
      <c r="H53" s="28"/>
    </row>
    <row r="54" spans="1:8">
      <c r="A54" t="s">
        <v>152</v>
      </c>
      <c r="H54" s="4"/>
    </row>
    <row r="55" spans="1:8">
      <c r="G55" s="39"/>
      <c r="H55" s="39"/>
    </row>
    <row r="56" spans="1:8">
      <c r="G56" s="40"/>
      <c r="H56" s="40"/>
    </row>
    <row r="57" spans="1:8">
      <c r="G57" s="39"/>
      <c r="H57" s="39"/>
    </row>
    <row r="58" spans="1:8">
      <c r="G58" s="40"/>
      <c r="H58" s="40"/>
    </row>
    <row r="59" spans="1:8">
      <c r="G59" s="40"/>
      <c r="H59" s="40"/>
    </row>
    <row r="60" spans="1:8">
      <c r="G60" s="28"/>
      <c r="H60" s="28"/>
    </row>
    <row r="61" spans="1:8">
      <c r="G61" s="28"/>
      <c r="H61" s="28"/>
    </row>
    <row r="62" spans="1:8">
      <c r="G62" s="28"/>
      <c r="H62" s="28"/>
    </row>
    <row r="63" spans="1:8">
      <c r="G63" s="28"/>
      <c r="H63" s="28"/>
    </row>
    <row r="64" spans="1:8">
      <c r="G64" s="28"/>
      <c r="H64" s="28"/>
    </row>
    <row r="65" spans="7:8">
      <c r="G65" s="28"/>
      <c r="H65" s="28"/>
    </row>
    <row r="66" spans="7:8">
      <c r="G66" s="39"/>
      <c r="H66" s="39"/>
    </row>
    <row r="67" spans="7:8">
      <c r="G67" s="40"/>
      <c r="H67" s="40"/>
    </row>
    <row r="68" spans="7:8">
      <c r="G68" s="40"/>
      <c r="H68" s="40"/>
    </row>
    <row r="69" spans="7:8">
      <c r="G69" s="28"/>
      <c r="H69" s="28"/>
    </row>
    <row r="70" spans="7:8">
      <c r="G70" s="28"/>
      <c r="H70" s="28"/>
    </row>
    <row r="71" spans="7:8">
      <c r="G71" s="28"/>
      <c r="H71" s="28"/>
    </row>
    <row r="72" spans="7:8">
      <c r="G72" s="28"/>
      <c r="H72" s="28"/>
    </row>
    <row r="73" spans="7:8">
      <c r="G73" s="28"/>
      <c r="H73" s="28"/>
    </row>
    <row r="74" spans="7:8">
      <c r="H74" s="28"/>
    </row>
    <row r="75" spans="7:8">
      <c r="G75" s="39"/>
      <c r="H75" s="39"/>
    </row>
    <row r="76" spans="7:8">
      <c r="G76" s="40"/>
      <c r="H76" s="40"/>
    </row>
    <row r="77" spans="7:8">
      <c r="G77" s="39"/>
      <c r="H77" s="39"/>
    </row>
    <row r="78" spans="7:8">
      <c r="G78" s="40"/>
      <c r="H78" s="40"/>
    </row>
    <row r="79" spans="7:8">
      <c r="G79" s="40"/>
      <c r="H79" s="40"/>
    </row>
    <row r="80" spans="7:8" ht="15.75" customHeight="1">
      <c r="G80" s="28"/>
      <c r="H80" s="28"/>
    </row>
    <row r="81" spans="7:8" ht="16.5" customHeight="1">
      <c r="G81" s="28"/>
      <c r="H81" s="28"/>
    </row>
    <row r="82" spans="7:8">
      <c r="G82" s="28"/>
      <c r="H82" s="28"/>
    </row>
    <row r="83" spans="7:8">
      <c r="G83" s="28"/>
      <c r="H83" s="28"/>
    </row>
    <row r="84" spans="7:8">
      <c r="G84" s="28"/>
      <c r="H84" s="28"/>
    </row>
    <row r="87" spans="7:8" ht="18.75">
      <c r="G87" s="141"/>
    </row>
    <row r="91" spans="7:8" ht="15" customHeight="1"/>
    <row r="92" spans="7:8" ht="15" customHeight="1"/>
  </sheetData>
  <mergeCells count="21">
    <mergeCell ref="C16:D16"/>
    <mergeCell ref="A35:F35"/>
    <mergeCell ref="A36:B36"/>
    <mergeCell ref="E36:F36"/>
    <mergeCell ref="E16:F16"/>
    <mergeCell ref="A16:B16"/>
    <mergeCell ref="A2:F2"/>
    <mergeCell ref="A15:F15"/>
    <mergeCell ref="A1:K1"/>
    <mergeCell ref="A7:B7"/>
    <mergeCell ref="E7:F7"/>
    <mergeCell ref="A4:F4"/>
    <mergeCell ref="A6:F6"/>
    <mergeCell ref="C7:D7"/>
    <mergeCell ref="A26:F26"/>
    <mergeCell ref="A24:F24"/>
    <mergeCell ref="A27:B27"/>
    <mergeCell ref="E27:F27"/>
    <mergeCell ref="A42:F42"/>
    <mergeCell ref="C27:D27"/>
    <mergeCell ref="C36:D36"/>
  </mergeCells>
  <phoneticPr fontId="0" type="noConversion"/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2"/>
  <sheetViews>
    <sheetView view="pageBreakPreview" zoomScaleSheetLayoutView="100" workbookViewId="0">
      <selection activeCell="G63" sqref="G63"/>
    </sheetView>
  </sheetViews>
  <sheetFormatPr defaultRowHeight="15"/>
  <cols>
    <col min="1" max="6" width="13.7109375" customWidth="1"/>
    <col min="7" max="12" width="9.7109375" customWidth="1"/>
    <col min="13" max="13" width="7.7109375" customWidth="1"/>
    <col min="14" max="14" width="8.7109375" customWidth="1"/>
    <col min="15" max="15" width="9.28515625" bestFit="1" customWidth="1"/>
    <col min="16" max="16" width="9.5703125" bestFit="1" customWidth="1"/>
    <col min="17" max="17" width="4.28515625" customWidth="1"/>
    <col min="18" max="18" width="4.85546875" customWidth="1"/>
    <col min="19" max="19" width="27.5703125" customWidth="1"/>
    <col min="21" max="21" width="9.28515625" bestFit="1" customWidth="1"/>
    <col min="22" max="22" width="9.5703125" bestFit="1" customWidth="1"/>
    <col min="25" max="25" width="25.85546875" customWidth="1"/>
    <col min="27" max="27" width="9.28515625" bestFit="1" customWidth="1"/>
    <col min="28" max="28" width="9.5703125" bestFit="1" customWidth="1"/>
  </cols>
  <sheetData>
    <row r="1" spans="1:31" ht="75.75" customHeight="1">
      <c r="A1" s="156" t="s">
        <v>114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34"/>
      <c r="O1" s="134"/>
    </row>
    <row r="2" spans="1:31" ht="21">
      <c r="A2" s="151" t="s">
        <v>77</v>
      </c>
      <c r="B2" s="151"/>
      <c r="C2" s="151"/>
      <c r="D2" s="151"/>
      <c r="E2" s="151"/>
      <c r="F2" s="151"/>
      <c r="G2" s="44"/>
      <c r="H2" s="44"/>
    </row>
    <row r="3" spans="1:31" ht="21">
      <c r="A3" s="118"/>
      <c r="B3" s="118"/>
      <c r="C3" s="118"/>
      <c r="D3" s="118"/>
      <c r="E3" s="118"/>
      <c r="F3" s="118"/>
      <c r="G3" s="43"/>
      <c r="H3" s="135"/>
    </row>
    <row r="4" spans="1:31">
      <c r="A4" s="147" t="s">
        <v>68</v>
      </c>
      <c r="B4" s="147"/>
      <c r="C4" s="147"/>
      <c r="D4" s="147"/>
      <c r="E4" s="147"/>
      <c r="F4" s="147"/>
      <c r="G4" s="39"/>
      <c r="H4" s="39"/>
    </row>
    <row r="5" spans="1:31">
      <c r="A5" s="120"/>
      <c r="B5" s="120"/>
      <c r="C5" s="120"/>
      <c r="D5" s="120"/>
      <c r="E5" s="120"/>
      <c r="F5" s="120"/>
      <c r="G5" s="40"/>
      <c r="H5" s="40"/>
    </row>
    <row r="6" spans="1:31">
      <c r="A6" s="158" t="s">
        <v>71</v>
      </c>
      <c r="B6" s="158"/>
      <c r="C6" s="158"/>
      <c r="D6" s="158"/>
      <c r="E6" s="158"/>
      <c r="F6" s="158"/>
      <c r="G6" s="39"/>
      <c r="H6" s="39"/>
    </row>
    <row r="7" spans="1:31">
      <c r="A7" s="148" t="s">
        <v>123</v>
      </c>
      <c r="B7" s="149"/>
      <c r="C7" s="148" t="s">
        <v>124</v>
      </c>
      <c r="D7" s="149"/>
      <c r="E7" s="148" t="s">
        <v>69</v>
      </c>
      <c r="F7" s="149"/>
      <c r="G7" s="40"/>
      <c r="H7" s="40"/>
    </row>
    <row r="8" spans="1:31">
      <c r="A8" s="121" t="s">
        <v>75</v>
      </c>
      <c r="B8" s="121" t="s">
        <v>67</v>
      </c>
      <c r="C8" s="121" t="s">
        <v>75</v>
      </c>
      <c r="D8" s="121" t="s">
        <v>67</v>
      </c>
      <c r="E8" s="121" t="s">
        <v>75</v>
      </c>
      <c r="F8" s="124" t="s">
        <v>67</v>
      </c>
      <c r="G8" s="40"/>
      <c r="H8" s="40"/>
      <c r="N8" s="21"/>
      <c r="O8" s="21"/>
      <c r="P8" s="21"/>
      <c r="Q8" s="4"/>
      <c r="R8" s="4"/>
      <c r="S8" s="21"/>
      <c r="T8" s="21"/>
      <c r="U8" s="21"/>
      <c r="V8" s="21"/>
      <c r="W8" s="4"/>
      <c r="X8" s="4"/>
      <c r="Y8" s="21"/>
      <c r="Z8" s="21"/>
      <c r="AA8" s="21"/>
      <c r="AB8" s="21"/>
      <c r="AC8" s="4"/>
      <c r="AD8" s="4"/>
      <c r="AE8" s="4"/>
    </row>
    <row r="9" spans="1:31">
      <c r="A9" s="125" t="s">
        <v>125</v>
      </c>
      <c r="B9" s="126">
        <v>4500000</v>
      </c>
      <c r="C9" s="125" t="s">
        <v>125</v>
      </c>
      <c r="D9" s="126">
        <v>4680000</v>
      </c>
      <c r="E9" s="125" t="s">
        <v>125</v>
      </c>
      <c r="F9" s="126">
        <v>4860000</v>
      </c>
      <c r="G9" s="28"/>
      <c r="H9" s="2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>
      <c r="A10" s="125" t="s">
        <v>129</v>
      </c>
      <c r="B10" s="126">
        <v>4950000</v>
      </c>
      <c r="C10" s="125" t="s">
        <v>126</v>
      </c>
      <c r="D10" s="126">
        <v>5130000</v>
      </c>
      <c r="E10" s="125" t="s">
        <v>129</v>
      </c>
      <c r="F10" s="126">
        <v>5310000</v>
      </c>
      <c r="G10" s="28"/>
      <c r="H10" s="2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125" t="s">
        <v>127</v>
      </c>
      <c r="B11" s="126">
        <v>5130000</v>
      </c>
      <c r="C11" s="125" t="s">
        <v>127</v>
      </c>
      <c r="D11" s="126">
        <v>5400000</v>
      </c>
      <c r="E11" s="125" t="s">
        <v>127</v>
      </c>
      <c r="F11" s="126">
        <v>5580000</v>
      </c>
      <c r="G11" s="28"/>
      <c r="H11" s="28"/>
    </row>
    <row r="12" spans="1:31">
      <c r="A12" s="125" t="s">
        <v>128</v>
      </c>
      <c r="B12" s="126">
        <v>5400000</v>
      </c>
      <c r="C12" s="125" t="s">
        <v>128</v>
      </c>
      <c r="D12" s="126">
        <v>5670000</v>
      </c>
      <c r="E12" s="125" t="s">
        <v>128</v>
      </c>
      <c r="F12" s="126">
        <v>5940000</v>
      </c>
      <c r="G12" s="28"/>
      <c r="H12" s="28"/>
    </row>
    <row r="13" spans="1:31">
      <c r="A13" s="127"/>
      <c r="B13" s="129"/>
      <c r="C13" s="127"/>
      <c r="D13" s="129"/>
      <c r="E13" s="127"/>
      <c r="F13" s="129" t="s">
        <v>42</v>
      </c>
      <c r="G13" s="28"/>
      <c r="H13" s="28"/>
    </row>
    <row r="14" spans="1:31">
      <c r="A14" s="127"/>
      <c r="B14" s="129"/>
      <c r="C14" s="116"/>
      <c r="D14" s="116"/>
      <c r="E14" s="130"/>
      <c r="F14" s="131"/>
      <c r="G14" s="28"/>
      <c r="H14" s="28"/>
    </row>
    <row r="15" spans="1:31" ht="15.75" thickBot="1">
      <c r="A15" s="153" t="s">
        <v>70</v>
      </c>
      <c r="B15" s="154"/>
      <c r="C15" s="154"/>
      <c r="D15" s="154"/>
      <c r="E15" s="154"/>
      <c r="F15" s="155"/>
      <c r="G15" s="178" t="s">
        <v>76</v>
      </c>
      <c r="H15" s="179"/>
      <c r="I15" s="179"/>
      <c r="J15" s="179"/>
      <c r="K15" s="179"/>
      <c r="L15" s="179"/>
      <c r="M15" s="179"/>
    </row>
    <row r="16" spans="1:31">
      <c r="A16" s="148" t="s">
        <v>123</v>
      </c>
      <c r="B16" s="149"/>
      <c r="C16" s="148" t="s">
        <v>124</v>
      </c>
      <c r="D16" s="149"/>
      <c r="E16" s="148" t="s">
        <v>69</v>
      </c>
      <c r="F16" s="149"/>
      <c r="G16" s="182" t="s">
        <v>142</v>
      </c>
      <c r="H16" s="183"/>
      <c r="I16" s="183"/>
      <c r="J16" s="183"/>
      <c r="K16" s="183"/>
      <c r="L16" s="183"/>
      <c r="M16" s="183"/>
    </row>
    <row r="17" spans="1:15" ht="15" customHeight="1">
      <c r="A17" s="121" t="s">
        <v>75</v>
      </c>
      <c r="B17" s="121" t="s">
        <v>67</v>
      </c>
      <c r="C17" s="121" t="s">
        <v>75</v>
      </c>
      <c r="D17" s="121" t="s">
        <v>67</v>
      </c>
      <c r="E17" s="121" t="s">
        <v>75</v>
      </c>
      <c r="F17" s="124" t="s">
        <v>67</v>
      </c>
      <c r="G17" s="182" t="s">
        <v>133</v>
      </c>
      <c r="H17" s="183"/>
      <c r="I17" s="183"/>
      <c r="J17" s="183"/>
      <c r="K17" s="183"/>
      <c r="L17" s="183"/>
      <c r="M17" s="183"/>
    </row>
    <row r="18" spans="1:15">
      <c r="A18" s="125" t="s">
        <v>125</v>
      </c>
      <c r="B18" s="126">
        <v>4950000</v>
      </c>
      <c r="C18" s="125" t="s">
        <v>125</v>
      </c>
      <c r="D18" s="126">
        <v>5200000</v>
      </c>
      <c r="E18" s="125" t="s">
        <v>125</v>
      </c>
      <c r="F18" s="126">
        <v>5350000</v>
      </c>
      <c r="G18" s="184" t="s">
        <v>141</v>
      </c>
      <c r="H18" s="184"/>
      <c r="I18" s="184"/>
      <c r="J18" s="184"/>
      <c r="K18" s="184"/>
      <c r="L18" s="184"/>
      <c r="M18" s="184"/>
    </row>
    <row r="19" spans="1:15">
      <c r="A19" s="125" t="s">
        <v>129</v>
      </c>
      <c r="B19" s="126">
        <v>5500000</v>
      </c>
      <c r="C19" s="125" t="s">
        <v>126</v>
      </c>
      <c r="D19" s="126">
        <v>5650000</v>
      </c>
      <c r="E19" s="125" t="s">
        <v>129</v>
      </c>
      <c r="F19" s="126">
        <v>5850000</v>
      </c>
      <c r="G19" s="184" t="s">
        <v>134</v>
      </c>
      <c r="H19" s="184"/>
      <c r="I19" s="184"/>
      <c r="J19" s="184"/>
      <c r="K19" s="184"/>
      <c r="L19" s="184"/>
      <c r="M19" s="184"/>
    </row>
    <row r="20" spans="1:15">
      <c r="A20" s="125" t="s">
        <v>127</v>
      </c>
      <c r="B20" s="126">
        <v>5650000</v>
      </c>
      <c r="C20" s="125" t="s">
        <v>127</v>
      </c>
      <c r="D20" s="126">
        <v>5950000</v>
      </c>
      <c r="E20" s="125" t="s">
        <v>127</v>
      </c>
      <c r="F20" s="126">
        <v>6150000</v>
      </c>
      <c r="G20" s="185" t="s">
        <v>143</v>
      </c>
      <c r="H20" s="186"/>
      <c r="I20" s="186"/>
      <c r="J20" s="186"/>
      <c r="K20" s="186"/>
      <c r="L20" s="186"/>
      <c r="M20" s="186"/>
    </row>
    <row r="21" spans="1:15">
      <c r="A21" s="125" t="s">
        <v>128</v>
      </c>
      <c r="B21" s="126">
        <v>5950000</v>
      </c>
      <c r="C21" s="125" t="s">
        <v>128</v>
      </c>
      <c r="D21" s="126">
        <v>6250000</v>
      </c>
      <c r="E21" s="125" t="s">
        <v>128</v>
      </c>
      <c r="F21" s="137">
        <v>6550000</v>
      </c>
      <c r="G21" s="187" t="s">
        <v>140</v>
      </c>
      <c r="H21" s="188"/>
      <c r="I21" s="188"/>
      <c r="J21" s="188"/>
      <c r="K21" s="188"/>
      <c r="L21" s="188"/>
      <c r="M21" s="188"/>
      <c r="N21" s="45"/>
      <c r="O21" s="45"/>
    </row>
    <row r="22" spans="1:15">
      <c r="A22" s="23"/>
      <c r="B22" s="22"/>
      <c r="C22" s="23"/>
      <c r="D22" s="4"/>
      <c r="E22" s="23"/>
      <c r="F22" s="22"/>
      <c r="G22" s="189"/>
      <c r="H22" s="190"/>
      <c r="I22" s="190"/>
      <c r="J22" s="190"/>
      <c r="K22" s="190"/>
      <c r="L22" s="190"/>
      <c r="M22" s="190"/>
      <c r="N22" s="42"/>
      <c r="O22" s="42"/>
    </row>
    <row r="23" spans="1:15">
      <c r="A23" s="23"/>
      <c r="B23" s="22"/>
      <c r="E23" s="25"/>
      <c r="F23" s="41"/>
      <c r="G23" s="180" t="s">
        <v>135</v>
      </c>
      <c r="H23" s="181"/>
      <c r="I23" s="181"/>
      <c r="J23" s="181"/>
      <c r="K23" s="181"/>
      <c r="L23" s="181"/>
      <c r="M23" s="181"/>
      <c r="N23" s="42"/>
      <c r="O23" s="42"/>
    </row>
    <row r="24" spans="1:15">
      <c r="A24" s="191" t="s">
        <v>131</v>
      </c>
      <c r="B24" s="191"/>
      <c r="C24" s="191"/>
      <c r="D24" s="191"/>
      <c r="E24" s="191"/>
      <c r="F24" s="191"/>
      <c r="G24" s="40"/>
      <c r="H24" s="40"/>
      <c r="N24" s="42"/>
      <c r="O24" s="42"/>
    </row>
    <row r="25" spans="1:15">
      <c r="A25" s="40"/>
      <c r="B25" s="40"/>
      <c r="C25" s="40"/>
      <c r="D25" s="40"/>
      <c r="E25" s="40"/>
      <c r="F25" s="40"/>
      <c r="G25" s="39"/>
      <c r="H25" s="145"/>
    </row>
    <row r="26" spans="1:15">
      <c r="A26" s="146" t="s">
        <v>71</v>
      </c>
      <c r="B26" s="146"/>
      <c r="C26" s="146"/>
      <c r="D26" s="146"/>
      <c r="E26" s="146"/>
      <c r="F26" s="146"/>
      <c r="G26" s="40"/>
      <c r="H26" s="40"/>
    </row>
    <row r="27" spans="1:15">
      <c r="A27" s="148" t="s">
        <v>123</v>
      </c>
      <c r="B27" s="149"/>
      <c r="C27" s="148" t="s">
        <v>124</v>
      </c>
      <c r="D27" s="149"/>
      <c r="E27" s="148" t="s">
        <v>69</v>
      </c>
      <c r="F27" s="149"/>
      <c r="G27" s="40"/>
      <c r="H27" s="40"/>
    </row>
    <row r="28" spans="1:15">
      <c r="A28" s="121" t="s">
        <v>75</v>
      </c>
      <c r="B28" s="121" t="s">
        <v>67</v>
      </c>
      <c r="C28" s="121" t="s">
        <v>75</v>
      </c>
      <c r="D28" s="121" t="s">
        <v>67</v>
      </c>
      <c r="E28" s="121" t="s">
        <v>75</v>
      </c>
      <c r="F28" s="124" t="s">
        <v>67</v>
      </c>
      <c r="G28" s="28"/>
      <c r="H28" s="28"/>
    </row>
    <row r="29" spans="1:15">
      <c r="A29" s="125" t="s">
        <v>125</v>
      </c>
      <c r="B29" s="126">
        <v>4950000</v>
      </c>
      <c r="C29" s="125" t="s">
        <v>125</v>
      </c>
      <c r="D29" s="126">
        <v>5150000</v>
      </c>
      <c r="E29" s="125" t="s">
        <v>125</v>
      </c>
      <c r="F29" s="126">
        <v>5350000</v>
      </c>
      <c r="G29" s="28"/>
      <c r="H29" s="28"/>
    </row>
    <row r="30" spans="1:15">
      <c r="A30" s="125" t="s">
        <v>129</v>
      </c>
      <c r="B30" s="126">
        <v>5450000</v>
      </c>
      <c r="C30" s="125" t="s">
        <v>126</v>
      </c>
      <c r="D30" s="126">
        <v>5800000</v>
      </c>
      <c r="E30" s="125" t="s">
        <v>129</v>
      </c>
      <c r="F30" s="126">
        <v>5850000</v>
      </c>
      <c r="G30" s="28"/>
      <c r="H30" s="28"/>
    </row>
    <row r="31" spans="1:15">
      <c r="A31" s="125" t="s">
        <v>127</v>
      </c>
      <c r="B31" s="126">
        <v>5750000</v>
      </c>
      <c r="C31" s="125" t="s">
        <v>127</v>
      </c>
      <c r="D31" s="126">
        <v>6050000</v>
      </c>
      <c r="E31" s="125" t="s">
        <v>127</v>
      </c>
      <c r="F31" s="126">
        <v>6300000</v>
      </c>
      <c r="G31" s="28"/>
      <c r="H31" s="28"/>
    </row>
    <row r="32" spans="1:15">
      <c r="A32" s="125" t="s">
        <v>128</v>
      </c>
      <c r="B32" s="126">
        <v>6200000</v>
      </c>
      <c r="C32" s="125" t="s">
        <v>128</v>
      </c>
      <c r="D32" s="126">
        <v>6550000</v>
      </c>
      <c r="E32" s="125" t="s">
        <v>128</v>
      </c>
      <c r="F32" s="136">
        <v>6750000</v>
      </c>
      <c r="G32" s="28"/>
      <c r="H32" s="28"/>
    </row>
    <row r="33" spans="1:13">
      <c r="A33" s="23"/>
      <c r="B33" s="22"/>
      <c r="C33" s="23"/>
      <c r="D33" s="4"/>
      <c r="E33" s="23"/>
      <c r="F33" s="22"/>
      <c r="G33" s="28"/>
      <c r="H33" s="28"/>
    </row>
    <row r="34" spans="1:13">
      <c r="A34" s="23"/>
      <c r="B34" s="22"/>
      <c r="C34" s="23"/>
      <c r="D34" s="4"/>
      <c r="E34" s="23"/>
      <c r="F34" s="22"/>
      <c r="G34" s="39"/>
      <c r="H34" s="39"/>
    </row>
    <row r="35" spans="1:13">
      <c r="A35" s="146" t="s">
        <v>70</v>
      </c>
      <c r="B35" s="146"/>
      <c r="C35" s="146"/>
      <c r="D35" s="146"/>
      <c r="E35" s="146"/>
      <c r="F35" s="146"/>
      <c r="G35" s="40"/>
      <c r="H35" s="40"/>
    </row>
    <row r="36" spans="1:13">
      <c r="A36" s="148" t="s">
        <v>123</v>
      </c>
      <c r="B36" s="149"/>
      <c r="C36" s="148" t="s">
        <v>124</v>
      </c>
      <c r="D36" s="149"/>
      <c r="E36" s="148" t="s">
        <v>69</v>
      </c>
      <c r="F36" s="149"/>
      <c r="G36" s="39"/>
      <c r="H36" s="39"/>
    </row>
    <row r="37" spans="1:13">
      <c r="A37" s="121" t="s">
        <v>75</v>
      </c>
      <c r="B37" s="121" t="s">
        <v>67</v>
      </c>
      <c r="C37" s="121" t="s">
        <v>75</v>
      </c>
      <c r="D37" s="121" t="s">
        <v>67</v>
      </c>
      <c r="E37" s="121" t="s">
        <v>75</v>
      </c>
      <c r="F37" s="124" t="s">
        <v>67</v>
      </c>
      <c r="G37" s="40"/>
      <c r="H37" s="40"/>
    </row>
    <row r="38" spans="1:13">
      <c r="A38" s="125" t="s">
        <v>125</v>
      </c>
      <c r="B38" s="126">
        <v>6590000</v>
      </c>
      <c r="C38" s="125" t="s">
        <v>125</v>
      </c>
      <c r="D38" s="126">
        <v>6200000</v>
      </c>
      <c r="E38" s="125" t="s">
        <v>125</v>
      </c>
      <c r="F38" s="126">
        <v>6500000</v>
      </c>
      <c r="G38" s="40"/>
      <c r="H38" s="40"/>
    </row>
    <row r="39" spans="1:13">
      <c r="A39" s="125" t="s">
        <v>129</v>
      </c>
      <c r="B39" s="126">
        <v>6550000</v>
      </c>
      <c r="C39" s="125" t="s">
        <v>126</v>
      </c>
      <c r="D39" s="126">
        <v>6950000</v>
      </c>
      <c r="E39" s="125" t="s">
        <v>129</v>
      </c>
      <c r="F39" s="126">
        <v>7050000</v>
      </c>
      <c r="G39" s="28"/>
      <c r="H39" s="28"/>
    </row>
    <row r="40" spans="1:13">
      <c r="A40" s="125" t="s">
        <v>127</v>
      </c>
      <c r="B40" s="126">
        <v>6950000</v>
      </c>
      <c r="C40" s="125" t="s">
        <v>127</v>
      </c>
      <c r="D40" s="126">
        <v>7290000</v>
      </c>
      <c r="E40" s="125" t="s">
        <v>127</v>
      </c>
      <c r="F40" s="126">
        <v>7550000</v>
      </c>
      <c r="G40" s="28"/>
      <c r="H40" s="28"/>
    </row>
    <row r="41" spans="1:13">
      <c r="A41" s="125" t="s">
        <v>128</v>
      </c>
      <c r="B41" s="126">
        <v>7350000</v>
      </c>
      <c r="C41" s="125" t="s">
        <v>128</v>
      </c>
      <c r="D41" s="126">
        <v>7850000</v>
      </c>
      <c r="E41" s="125" t="s">
        <v>128</v>
      </c>
      <c r="F41" s="136">
        <v>8300000</v>
      </c>
      <c r="G41" s="28"/>
      <c r="H41" s="28"/>
    </row>
    <row r="42" spans="1:13">
      <c r="A42" s="23"/>
      <c r="B42" s="22"/>
      <c r="C42" s="23"/>
      <c r="D42" s="4"/>
      <c r="E42" s="23"/>
      <c r="F42" s="22"/>
      <c r="G42" s="28"/>
      <c r="H42" s="28"/>
    </row>
    <row r="43" spans="1:13">
      <c r="A43" s="144" t="s">
        <v>130</v>
      </c>
      <c r="B43" s="142"/>
      <c r="C43" s="142"/>
      <c r="D43" s="142"/>
      <c r="E43" s="142"/>
      <c r="F43" s="142"/>
      <c r="G43" s="28"/>
      <c r="H43" s="28"/>
    </row>
    <row r="44" spans="1:13">
      <c r="A44" s="40"/>
      <c r="B44" s="40"/>
      <c r="C44" s="40"/>
      <c r="D44" s="40"/>
      <c r="E44" s="40"/>
      <c r="F44" s="40"/>
      <c r="G44" s="28"/>
      <c r="H44" s="28"/>
    </row>
    <row r="45" spans="1:13" ht="18.75">
      <c r="A45" s="176" t="s">
        <v>132</v>
      </c>
      <c r="B45" s="177"/>
      <c r="C45" s="177"/>
      <c r="D45" s="177"/>
      <c r="E45" s="177"/>
      <c r="F45" s="177"/>
      <c r="G45" s="148" t="s">
        <v>123</v>
      </c>
      <c r="H45" s="149"/>
      <c r="I45" s="148" t="s">
        <v>124</v>
      </c>
      <c r="J45" s="149"/>
      <c r="K45" s="148" t="s">
        <v>69</v>
      </c>
      <c r="L45" s="149"/>
      <c r="M45" s="120"/>
    </row>
    <row r="46" spans="1:13" ht="15.75">
      <c r="A46" s="164" t="s">
        <v>73</v>
      </c>
      <c r="B46" s="165"/>
      <c r="C46" s="165"/>
      <c r="D46" s="165"/>
      <c r="E46" s="165"/>
      <c r="F46" s="166"/>
      <c r="G46" s="162">
        <v>2375000</v>
      </c>
      <c r="H46" s="163"/>
      <c r="I46" s="162">
        <v>2470000</v>
      </c>
      <c r="J46" s="163"/>
      <c r="K46" s="162">
        <v>2565000</v>
      </c>
      <c r="L46" s="163"/>
      <c r="M46" s="138"/>
    </row>
    <row r="47" spans="1:13" ht="15.75">
      <c r="A47" s="173" t="s">
        <v>74</v>
      </c>
      <c r="B47" s="174"/>
      <c r="C47" s="174"/>
      <c r="D47" s="174"/>
      <c r="E47" s="174"/>
      <c r="F47" s="175"/>
      <c r="G47" s="159">
        <v>2565000</v>
      </c>
      <c r="H47" s="160"/>
      <c r="I47" s="159">
        <v>2660000</v>
      </c>
      <c r="J47" s="160"/>
      <c r="K47" s="159">
        <v>2755000</v>
      </c>
      <c r="L47" s="160"/>
      <c r="M47" s="139"/>
    </row>
    <row r="48" spans="1:13" ht="15.75">
      <c r="A48" s="170" t="s">
        <v>136</v>
      </c>
      <c r="B48" s="171"/>
      <c r="C48" s="171"/>
      <c r="D48" s="171"/>
      <c r="E48" s="171"/>
      <c r="F48" s="172"/>
      <c r="G48" s="159">
        <v>2375000</v>
      </c>
      <c r="H48" s="160"/>
      <c r="I48" s="159">
        <v>2470000</v>
      </c>
      <c r="J48" s="160"/>
      <c r="K48" s="159">
        <v>2565000</v>
      </c>
      <c r="L48" s="160"/>
      <c r="M48" s="139"/>
    </row>
    <row r="49" spans="1:13" ht="16.5" thickBot="1">
      <c r="A49" s="167" t="s">
        <v>137</v>
      </c>
      <c r="B49" s="168"/>
      <c r="C49" s="168"/>
      <c r="D49" s="168"/>
      <c r="E49" s="168"/>
      <c r="F49" s="169"/>
      <c r="G49" s="159">
        <v>2565000</v>
      </c>
      <c r="H49" s="160"/>
      <c r="I49" s="159">
        <v>2660000</v>
      </c>
      <c r="J49" s="160"/>
      <c r="K49" s="159">
        <v>2755000</v>
      </c>
      <c r="L49" s="160"/>
      <c r="M49" s="139"/>
    </row>
    <row r="50" spans="1:13" ht="15.75" thickTop="1">
      <c r="G50" s="28"/>
      <c r="H50" s="28"/>
      <c r="M50" s="139"/>
    </row>
    <row r="51" spans="1:13">
      <c r="A51" s="161" t="s">
        <v>138</v>
      </c>
      <c r="B51" s="161"/>
      <c r="C51" s="161"/>
      <c r="D51" s="161"/>
      <c r="E51" s="161"/>
      <c r="F51" s="161"/>
      <c r="G51" s="28"/>
      <c r="H51" s="28"/>
    </row>
    <row r="52" spans="1:13">
      <c r="A52" t="s">
        <v>139</v>
      </c>
      <c r="E52" s="140"/>
      <c r="G52" s="28"/>
      <c r="H52" s="28"/>
    </row>
    <row r="53" spans="1:13">
      <c r="G53" s="28"/>
      <c r="H53" s="28"/>
    </row>
    <row r="54" spans="1:13">
      <c r="G54" s="28"/>
      <c r="H54" s="28"/>
    </row>
    <row r="55" spans="1:13">
      <c r="G55" s="39"/>
      <c r="H55" s="39"/>
    </row>
    <row r="56" spans="1:13">
      <c r="G56" s="40"/>
      <c r="H56" s="40"/>
    </row>
    <row r="57" spans="1:13">
      <c r="A57" t="s">
        <v>144</v>
      </c>
      <c r="G57" s="40"/>
      <c r="H57" s="40"/>
    </row>
    <row r="58" spans="1:13">
      <c r="A58" t="s">
        <v>145</v>
      </c>
      <c r="G58" s="28"/>
      <c r="H58" s="28"/>
    </row>
    <row r="59" spans="1:13">
      <c r="G59" s="28"/>
      <c r="H59" s="28"/>
    </row>
    <row r="60" spans="1:13">
      <c r="A60" t="s">
        <v>147</v>
      </c>
      <c r="G60" s="28"/>
      <c r="H60" s="28"/>
    </row>
    <row r="61" spans="1:13">
      <c r="A61" t="s">
        <v>148</v>
      </c>
      <c r="G61" s="28"/>
      <c r="H61" s="28"/>
    </row>
    <row r="62" spans="1:13">
      <c r="A62" t="s">
        <v>153</v>
      </c>
      <c r="G62" s="28"/>
      <c r="H62" s="28"/>
    </row>
    <row r="63" spans="1:13">
      <c r="A63" t="s">
        <v>154</v>
      </c>
      <c r="H63" s="4"/>
    </row>
    <row r="64" spans="1:13">
      <c r="A64" t="s">
        <v>155</v>
      </c>
      <c r="G64" s="39"/>
      <c r="H64" s="39"/>
    </row>
    <row r="65" spans="7:8">
      <c r="G65" s="40"/>
      <c r="H65" s="40"/>
    </row>
    <row r="66" spans="7:8">
      <c r="G66" s="39"/>
      <c r="H66" s="39"/>
    </row>
    <row r="67" spans="7:8">
      <c r="G67" s="40"/>
      <c r="H67" s="40"/>
    </row>
    <row r="68" spans="7:8">
      <c r="G68" s="40"/>
      <c r="H68" s="40"/>
    </row>
    <row r="69" spans="7:8">
      <c r="G69" s="28"/>
      <c r="H69" s="28"/>
    </row>
    <row r="70" spans="7:8">
      <c r="G70" s="28"/>
      <c r="H70" s="28"/>
    </row>
    <row r="71" spans="7:8">
      <c r="G71" s="28"/>
      <c r="H71" s="28"/>
    </row>
    <row r="72" spans="7:8">
      <c r="G72" s="28"/>
      <c r="H72" s="28"/>
    </row>
    <row r="73" spans="7:8">
      <c r="G73" s="28"/>
      <c r="H73" s="28"/>
    </row>
    <row r="74" spans="7:8">
      <c r="G74" s="28"/>
      <c r="H74" s="28"/>
    </row>
    <row r="75" spans="7:8">
      <c r="G75" s="39"/>
      <c r="H75" s="39"/>
    </row>
    <row r="76" spans="7:8">
      <c r="G76" s="40"/>
      <c r="H76" s="40"/>
    </row>
    <row r="77" spans="7:8">
      <c r="G77" s="40"/>
      <c r="H77" s="40"/>
    </row>
    <row r="78" spans="7:8">
      <c r="G78" s="28"/>
      <c r="H78" s="28"/>
    </row>
    <row r="79" spans="7:8">
      <c r="G79" s="28"/>
      <c r="H79" s="28"/>
    </row>
    <row r="80" spans="7:8">
      <c r="G80" s="28"/>
      <c r="H80" s="28"/>
    </row>
    <row r="81" spans="7:8">
      <c r="G81" s="28"/>
      <c r="H81" s="28"/>
    </row>
    <row r="82" spans="7:8">
      <c r="G82" s="28"/>
      <c r="H82" s="28"/>
    </row>
    <row r="83" spans="7:8">
      <c r="H83" s="28"/>
    </row>
    <row r="84" spans="7:8">
      <c r="G84" s="39"/>
      <c r="H84" s="39"/>
    </row>
    <row r="85" spans="7:8">
      <c r="G85" s="40"/>
      <c r="H85" s="40"/>
    </row>
    <row r="86" spans="7:8">
      <c r="G86" s="39"/>
      <c r="H86" s="39"/>
    </row>
    <row r="87" spans="7:8">
      <c r="G87" s="40"/>
      <c r="H87" s="40"/>
    </row>
    <row r="88" spans="7:8">
      <c r="G88" s="40"/>
      <c r="H88" s="40"/>
    </row>
    <row r="89" spans="7:8">
      <c r="G89" s="28"/>
      <c r="H89" s="28"/>
    </row>
    <row r="90" spans="7:8">
      <c r="G90" s="28"/>
      <c r="H90" s="28"/>
    </row>
    <row r="91" spans="7:8">
      <c r="G91" s="28"/>
      <c r="H91" s="28"/>
    </row>
    <row r="92" spans="7:8">
      <c r="G92" s="28"/>
      <c r="H92" s="28"/>
    </row>
    <row r="93" spans="7:8">
      <c r="G93" s="28"/>
      <c r="H93" s="28"/>
    </row>
    <row r="111" ht="15" customHeight="1"/>
    <row r="112" ht="15" customHeight="1"/>
  </sheetData>
  <mergeCells count="49">
    <mergeCell ref="C36:D36"/>
    <mergeCell ref="A15:F15"/>
    <mergeCell ref="A36:B36"/>
    <mergeCell ref="E36:F36"/>
    <mergeCell ref="A35:F35"/>
    <mergeCell ref="A16:B16"/>
    <mergeCell ref="E16:F16"/>
    <mergeCell ref="A26:F26"/>
    <mergeCell ref="A24:F24"/>
    <mergeCell ref="A27:B27"/>
    <mergeCell ref="E27:F27"/>
    <mergeCell ref="C16:D16"/>
    <mergeCell ref="C27:D27"/>
    <mergeCell ref="G15:M15"/>
    <mergeCell ref="G23:M23"/>
    <mergeCell ref="G16:M16"/>
    <mergeCell ref="G17:M17"/>
    <mergeCell ref="G18:M18"/>
    <mergeCell ref="G20:M20"/>
    <mergeCell ref="G19:M19"/>
    <mergeCell ref="G21:M22"/>
    <mergeCell ref="A2:F2"/>
    <mergeCell ref="A4:F4"/>
    <mergeCell ref="A6:F6"/>
    <mergeCell ref="A1:M1"/>
    <mergeCell ref="A7:B7"/>
    <mergeCell ref="E7:F7"/>
    <mergeCell ref="C7:D7"/>
    <mergeCell ref="G48:H48"/>
    <mergeCell ref="K45:L45"/>
    <mergeCell ref="K46:L46"/>
    <mergeCell ref="K47:L47"/>
    <mergeCell ref="K48:L48"/>
    <mergeCell ref="K49:L49"/>
    <mergeCell ref="A51:F51"/>
    <mergeCell ref="G49:H49"/>
    <mergeCell ref="I45:J45"/>
    <mergeCell ref="I46:J46"/>
    <mergeCell ref="I47:J47"/>
    <mergeCell ref="I48:J48"/>
    <mergeCell ref="I49:J49"/>
    <mergeCell ref="A46:F46"/>
    <mergeCell ref="A49:F49"/>
    <mergeCell ref="A48:F48"/>
    <mergeCell ref="A47:F47"/>
    <mergeCell ref="A45:F45"/>
    <mergeCell ref="G45:H45"/>
    <mergeCell ref="G46:H46"/>
    <mergeCell ref="G47:H47"/>
  </mergeCells>
  <phoneticPr fontId="0" type="noConversion"/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view="pageBreakPreview" zoomScale="70" zoomScaleNormal="40" zoomScaleSheetLayoutView="70" workbookViewId="0">
      <selection sqref="A1:J1"/>
    </sheetView>
  </sheetViews>
  <sheetFormatPr defaultRowHeight="15"/>
  <cols>
    <col min="1" max="1" width="6.7109375" style="47" customWidth="1"/>
    <col min="2" max="2" width="72.5703125" customWidth="1"/>
    <col min="3" max="3" width="12.140625" customWidth="1"/>
    <col min="4" max="4" width="24.7109375" customWidth="1"/>
    <col min="5" max="5" width="31.42578125" customWidth="1"/>
    <col min="6" max="8" width="13.42578125" customWidth="1"/>
    <col min="9" max="9" width="6.5703125" customWidth="1"/>
    <col min="10" max="10" width="1" hidden="1" customWidth="1"/>
  </cols>
  <sheetData>
    <row r="1" spans="1:11" s="116" customFormat="1" ht="75.75" customHeight="1" thickBot="1">
      <c r="A1" s="156" t="s">
        <v>114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s="52" customFormat="1" ht="51" customHeight="1" thickBot="1">
      <c r="A2" s="49" t="s">
        <v>79</v>
      </c>
      <c r="B2" s="50" t="s">
        <v>80</v>
      </c>
      <c r="C2" s="51" t="s">
        <v>1</v>
      </c>
      <c r="D2" s="266" t="s">
        <v>81</v>
      </c>
      <c r="E2" s="267"/>
      <c r="F2" s="266" t="s">
        <v>82</v>
      </c>
      <c r="G2" s="268"/>
      <c r="H2" s="268"/>
      <c r="I2" s="268"/>
      <c r="J2" s="268"/>
      <c r="K2" s="132"/>
    </row>
    <row r="3" spans="1:11" ht="45" customHeight="1">
      <c r="A3" s="235">
        <v>1</v>
      </c>
      <c r="B3" s="238" t="s">
        <v>83</v>
      </c>
      <c r="C3" s="53" t="s">
        <v>84</v>
      </c>
      <c r="D3" s="247" t="s">
        <v>115</v>
      </c>
      <c r="E3" s="248"/>
      <c r="F3" s="249">
        <v>20000</v>
      </c>
      <c r="G3" s="250"/>
      <c r="H3" s="250"/>
      <c r="I3" s="250"/>
      <c r="J3" s="250"/>
      <c r="K3" s="133"/>
    </row>
    <row r="4" spans="1:11" ht="41.25" customHeight="1">
      <c r="A4" s="236"/>
      <c r="B4" s="239"/>
      <c r="C4" s="54" t="s">
        <v>84</v>
      </c>
      <c r="D4" s="251" t="s">
        <v>113</v>
      </c>
      <c r="E4" s="252"/>
      <c r="F4" s="241">
        <v>22300</v>
      </c>
      <c r="G4" s="242"/>
      <c r="H4" s="242"/>
      <c r="I4" s="242"/>
      <c r="J4" s="242"/>
      <c r="K4" s="133"/>
    </row>
    <row r="5" spans="1:11" ht="44.25" customHeight="1">
      <c r="A5" s="236"/>
      <c r="B5" s="239"/>
      <c r="C5" s="55" t="s">
        <v>84</v>
      </c>
      <c r="D5" s="243" t="s">
        <v>111</v>
      </c>
      <c r="E5" s="244"/>
      <c r="F5" s="245">
        <v>22500</v>
      </c>
      <c r="G5" s="246"/>
      <c r="H5" s="246"/>
      <c r="I5" s="246"/>
      <c r="J5" s="246"/>
      <c r="K5" s="133"/>
    </row>
    <row r="6" spans="1:11" ht="54.75" customHeight="1">
      <c r="A6" s="236"/>
      <c r="B6" s="239"/>
      <c r="C6" s="55" t="s">
        <v>84</v>
      </c>
      <c r="D6" s="257" t="s">
        <v>117</v>
      </c>
      <c r="E6" s="258"/>
      <c r="F6" s="241">
        <v>25000</v>
      </c>
      <c r="G6" s="242"/>
      <c r="H6" s="242"/>
      <c r="I6" s="242"/>
      <c r="J6" s="242"/>
      <c r="K6" s="133"/>
    </row>
    <row r="7" spans="1:11" ht="45" customHeight="1">
      <c r="A7" s="236"/>
      <c r="B7" s="239"/>
      <c r="C7" s="56" t="s">
        <v>84</v>
      </c>
      <c r="D7" s="257" t="s">
        <v>116</v>
      </c>
      <c r="E7" s="258"/>
      <c r="F7" s="253">
        <v>34000</v>
      </c>
      <c r="G7" s="254"/>
      <c r="H7" s="254"/>
      <c r="I7" s="254"/>
      <c r="J7" s="254"/>
      <c r="K7" s="133"/>
    </row>
    <row r="8" spans="1:11" ht="53.25" customHeight="1">
      <c r="A8" s="236"/>
      <c r="B8" s="239"/>
      <c r="C8" s="56"/>
      <c r="D8" s="257" t="s">
        <v>119</v>
      </c>
      <c r="E8" s="258"/>
      <c r="F8" s="241">
        <v>31000</v>
      </c>
      <c r="G8" s="242"/>
      <c r="H8" s="242"/>
      <c r="I8" s="242"/>
      <c r="J8" s="115"/>
      <c r="K8" s="133"/>
    </row>
    <row r="9" spans="1:11" ht="43.5" customHeight="1">
      <c r="A9" s="236"/>
      <c r="B9" s="239"/>
      <c r="C9" s="56" t="s">
        <v>84</v>
      </c>
      <c r="D9" s="257" t="s">
        <v>118</v>
      </c>
      <c r="E9" s="258"/>
      <c r="F9" s="253">
        <v>28500</v>
      </c>
      <c r="G9" s="254"/>
      <c r="H9" s="254"/>
      <c r="I9" s="254"/>
      <c r="J9" s="254"/>
      <c r="K9" s="133"/>
    </row>
    <row r="10" spans="1:11" ht="3" hidden="1" customHeight="1">
      <c r="A10" s="237"/>
      <c r="B10" s="240"/>
      <c r="C10" s="56" t="s">
        <v>84</v>
      </c>
      <c r="D10" s="257"/>
      <c r="E10" s="258"/>
      <c r="F10" s="255"/>
      <c r="G10" s="256"/>
      <c r="H10" s="256"/>
      <c r="I10" s="256"/>
      <c r="J10" s="256"/>
      <c r="K10" s="133"/>
    </row>
    <row r="11" spans="1:11" ht="33.75" customHeight="1">
      <c r="A11" s="57">
        <v>2</v>
      </c>
      <c r="B11" s="58" t="s">
        <v>85</v>
      </c>
      <c r="C11" s="56" t="s">
        <v>84</v>
      </c>
      <c r="D11" s="257" t="s">
        <v>110</v>
      </c>
      <c r="E11" s="258"/>
      <c r="F11" s="253">
        <v>64000</v>
      </c>
      <c r="G11" s="254"/>
      <c r="H11" s="254"/>
      <c r="I11" s="254"/>
      <c r="J11" s="254"/>
      <c r="K11" s="133"/>
    </row>
    <row r="12" spans="1:11" ht="33.75" customHeight="1">
      <c r="A12" s="57">
        <v>3</v>
      </c>
      <c r="B12" s="59" t="s">
        <v>86</v>
      </c>
      <c r="C12" s="55" t="s">
        <v>84</v>
      </c>
      <c r="D12" s="274"/>
      <c r="E12" s="275"/>
      <c r="F12" s="241">
        <v>75000</v>
      </c>
      <c r="G12" s="242"/>
      <c r="H12" s="242"/>
      <c r="I12" s="242"/>
      <c r="J12" s="242"/>
      <c r="K12" s="133"/>
    </row>
    <row r="13" spans="1:11" ht="33.75" customHeight="1">
      <c r="A13" s="57">
        <v>4</v>
      </c>
      <c r="B13" s="59" t="s">
        <v>87</v>
      </c>
      <c r="C13" s="55" t="s">
        <v>84</v>
      </c>
      <c r="D13" s="274"/>
      <c r="E13" s="275"/>
      <c r="F13" s="241">
        <v>145000</v>
      </c>
      <c r="G13" s="242"/>
      <c r="H13" s="242"/>
      <c r="I13" s="242"/>
      <c r="J13" s="242"/>
      <c r="K13" s="133"/>
    </row>
    <row r="14" spans="1:11" ht="45.75" customHeight="1">
      <c r="A14" s="57">
        <v>5</v>
      </c>
      <c r="B14" s="59" t="s">
        <v>121</v>
      </c>
      <c r="C14" s="55"/>
      <c r="D14" s="274"/>
      <c r="E14" s="275"/>
      <c r="F14" s="241">
        <v>40000</v>
      </c>
      <c r="G14" s="242"/>
      <c r="H14" s="242"/>
      <c r="I14" s="242"/>
      <c r="J14" s="261"/>
      <c r="K14" s="133"/>
    </row>
    <row r="15" spans="1:11" ht="56.25" customHeight="1">
      <c r="A15" s="57">
        <v>6</v>
      </c>
      <c r="B15" s="59" t="s">
        <v>120</v>
      </c>
      <c r="C15" s="55" t="s">
        <v>84</v>
      </c>
      <c r="D15" s="274"/>
      <c r="E15" s="275"/>
      <c r="F15" s="241">
        <v>45000</v>
      </c>
      <c r="G15" s="242"/>
      <c r="H15" s="242"/>
      <c r="I15" s="242"/>
      <c r="J15" s="242"/>
      <c r="K15" s="133"/>
    </row>
    <row r="16" spans="1:11" ht="76.5" customHeight="1">
      <c r="A16" s="57">
        <v>7</v>
      </c>
      <c r="B16" s="59" t="s">
        <v>122</v>
      </c>
      <c r="C16" s="55" t="s">
        <v>84</v>
      </c>
      <c r="D16" s="276"/>
      <c r="E16" s="277"/>
      <c r="F16" s="262">
        <v>16000</v>
      </c>
      <c r="G16" s="263"/>
      <c r="H16" s="263"/>
      <c r="I16" s="263"/>
      <c r="J16" s="264"/>
      <c r="K16" s="133"/>
    </row>
    <row r="17" spans="1:20" ht="80.25" customHeight="1" thickBot="1">
      <c r="A17" s="60">
        <v>8</v>
      </c>
      <c r="B17" s="61" t="s">
        <v>88</v>
      </c>
      <c r="C17" s="62" t="s">
        <v>89</v>
      </c>
      <c r="D17" s="272" t="s">
        <v>90</v>
      </c>
      <c r="E17" s="273"/>
      <c r="F17" s="259">
        <v>90000</v>
      </c>
      <c r="G17" s="260"/>
      <c r="H17" s="260"/>
      <c r="I17" s="260"/>
      <c r="J17" s="260"/>
      <c r="K17" s="133"/>
    </row>
    <row r="18" spans="1:20" ht="36.75" customHeight="1" thickBot="1">
      <c r="A18" s="60">
        <v>9</v>
      </c>
      <c r="B18" s="61" t="s">
        <v>91</v>
      </c>
      <c r="C18" s="62" t="s">
        <v>92</v>
      </c>
      <c r="D18" s="272" t="s">
        <v>93</v>
      </c>
      <c r="E18" s="273"/>
      <c r="F18" s="259">
        <v>400</v>
      </c>
      <c r="G18" s="260"/>
      <c r="H18" s="260"/>
      <c r="I18" s="260"/>
      <c r="J18" s="260"/>
      <c r="K18" s="133"/>
    </row>
    <row r="19" spans="1:20" ht="12.75" customHeight="1">
      <c r="A19" s="63"/>
      <c r="B19" s="64"/>
      <c r="C19" s="65"/>
      <c r="D19" s="66"/>
      <c r="E19" s="66"/>
      <c r="F19" s="67"/>
      <c r="G19" s="67"/>
      <c r="H19" s="67"/>
      <c r="I19" s="67"/>
      <c r="J19" s="67"/>
    </row>
    <row r="20" spans="1:20" ht="12.75" customHeight="1">
      <c r="A20" s="63"/>
      <c r="B20" s="64"/>
      <c r="C20" s="65"/>
      <c r="D20" s="66"/>
      <c r="E20" s="66"/>
      <c r="F20" s="67"/>
      <c r="G20" s="67"/>
      <c r="H20" s="67"/>
      <c r="I20" s="67"/>
      <c r="J20" s="67"/>
    </row>
    <row r="21" spans="1:20" s="48" customFormat="1" ht="25.5" customHeight="1">
      <c r="A21" s="68"/>
      <c r="B21" s="269" t="s">
        <v>112</v>
      </c>
      <c r="C21" s="269"/>
      <c r="D21" s="269"/>
      <c r="E21" s="269"/>
      <c r="F21" s="269"/>
      <c r="G21" s="269"/>
      <c r="H21" s="269"/>
      <c r="I21" s="269"/>
      <c r="J21" s="69"/>
      <c r="K21"/>
      <c r="L21"/>
      <c r="M21"/>
      <c r="N21"/>
      <c r="O21"/>
      <c r="P21"/>
      <c r="Q21"/>
      <c r="R21"/>
      <c r="S21"/>
      <c r="T21"/>
    </row>
    <row r="22" spans="1:20" s="48" customFormat="1" ht="36.75" customHeight="1">
      <c r="A22" s="68"/>
      <c r="B22" s="269"/>
      <c r="C22" s="269"/>
      <c r="D22" s="269"/>
      <c r="E22" s="269"/>
      <c r="F22" s="269"/>
      <c r="G22" s="269"/>
      <c r="H22" s="269"/>
      <c r="I22" s="269"/>
      <c r="J22" s="269"/>
      <c r="K22"/>
      <c r="L22"/>
      <c r="M22"/>
      <c r="N22"/>
      <c r="O22"/>
      <c r="P22"/>
      <c r="Q22"/>
      <c r="R22"/>
      <c r="S22"/>
      <c r="T22"/>
    </row>
    <row r="23" spans="1:20" s="48" customFormat="1" ht="49.5" customHeight="1">
      <c r="A23" s="270"/>
      <c r="B23" s="271"/>
      <c r="C23" s="271"/>
      <c r="D23" s="271"/>
      <c r="E23" s="271"/>
      <c r="F23" s="271"/>
      <c r="G23" s="271"/>
      <c r="H23" s="271"/>
      <c r="I23" s="271"/>
      <c r="J23" s="271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48" customFormat="1" ht="35.2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</row>
    <row r="25" spans="1:20" ht="35.25" customHeight="1">
      <c r="A25" s="63"/>
      <c r="B25" s="64"/>
      <c r="C25" s="65"/>
      <c r="D25" s="66"/>
      <c r="E25" s="66"/>
      <c r="F25" s="67"/>
      <c r="G25" s="67"/>
      <c r="H25" s="67"/>
      <c r="I25" s="67"/>
      <c r="J25" s="67"/>
    </row>
    <row r="26" spans="1:20" ht="43.5" customHeight="1">
      <c r="A26" s="63"/>
      <c r="B26" s="64"/>
      <c r="C26" s="65"/>
      <c r="D26" s="66"/>
      <c r="E26" s="66"/>
      <c r="F26" s="67"/>
      <c r="G26" s="67"/>
      <c r="H26" s="67"/>
      <c r="I26" s="67"/>
      <c r="J26" s="67"/>
    </row>
    <row r="27" spans="1:20" ht="43.5" customHeight="1">
      <c r="A27" s="63"/>
      <c r="B27" s="64"/>
      <c r="C27" s="65"/>
      <c r="D27" s="66"/>
      <c r="E27" s="66"/>
      <c r="F27" s="67"/>
      <c r="G27" s="67"/>
      <c r="H27" s="67"/>
      <c r="I27" s="67"/>
      <c r="J27" s="67"/>
    </row>
    <row r="28" spans="1:20" ht="43.5" customHeight="1">
      <c r="A28" s="63"/>
      <c r="B28" s="64"/>
      <c r="C28" s="65"/>
      <c r="D28" s="66"/>
      <c r="E28" s="66"/>
      <c r="F28" s="67"/>
      <c r="G28" s="67"/>
      <c r="H28" s="67"/>
      <c r="I28" s="67"/>
      <c r="J28" s="67"/>
    </row>
    <row r="29" spans="1:20" ht="43.5" customHeight="1">
      <c r="A29" s="63"/>
      <c r="B29" s="64"/>
      <c r="C29" s="65"/>
      <c r="F29" s="67"/>
      <c r="G29" s="67"/>
      <c r="H29" s="67"/>
      <c r="I29" s="67"/>
      <c r="J29" s="67"/>
    </row>
    <row r="30" spans="1:20" s="48" customFormat="1" ht="43.5" customHeight="1">
      <c r="A30" s="63"/>
      <c r="B30" s="64"/>
      <c r="C30" s="65"/>
      <c r="D30" s="66"/>
      <c r="E30" s="66"/>
      <c r="F30" s="67"/>
      <c r="G30" s="67"/>
      <c r="H30" s="67"/>
      <c r="I30" s="67"/>
      <c r="J30" s="67"/>
      <c r="K30"/>
      <c r="L30"/>
      <c r="M30"/>
      <c r="N30"/>
      <c r="O30"/>
      <c r="P30"/>
      <c r="Q30"/>
      <c r="R30"/>
      <c r="S30"/>
      <c r="T30"/>
    </row>
    <row r="31" spans="1:20" s="48" customFormat="1" ht="43.5" customHeight="1">
      <c r="A31" s="63"/>
      <c r="B31" s="64"/>
      <c r="C31" s="65"/>
      <c r="D31" s="66"/>
      <c r="E31"/>
      <c r="F31" s="67"/>
      <c r="G31" s="67"/>
      <c r="H31" s="67"/>
      <c r="I31" s="67"/>
      <c r="J31" s="67"/>
      <c r="K31"/>
      <c r="L31"/>
      <c r="M31"/>
      <c r="N31"/>
      <c r="O31"/>
      <c r="P31"/>
      <c r="Q31"/>
      <c r="R31"/>
      <c r="S31"/>
      <c r="T31"/>
    </row>
    <row r="32" spans="1:20" s="48" customFormat="1" ht="43.5" customHeight="1">
      <c r="A32" s="63"/>
      <c r="B32" s="64"/>
      <c r="C32" s="65"/>
      <c r="D32" s="66"/>
      <c r="E32" s="66"/>
      <c r="F32" s="67"/>
      <c r="G32" s="67"/>
      <c r="H32" s="67"/>
      <c r="I32" s="67"/>
      <c r="J32" s="67"/>
      <c r="K32"/>
      <c r="L32"/>
      <c r="M32"/>
      <c r="N32"/>
      <c r="O32"/>
      <c r="P32"/>
      <c r="Q32"/>
      <c r="R32"/>
      <c r="S32"/>
      <c r="T32"/>
    </row>
    <row r="33" spans="1:20" s="48" customFormat="1" ht="43.5" customHeight="1">
      <c r="A33" s="63"/>
      <c r="B33" s="64"/>
      <c r="C33" s="65"/>
      <c r="D33" s="66"/>
      <c r="E33" s="66"/>
      <c r="F33" s="67"/>
      <c r="G33" s="67"/>
      <c r="H33" s="67"/>
      <c r="I33" s="67"/>
      <c r="J33" s="67"/>
      <c r="K33"/>
      <c r="L33"/>
      <c r="M33"/>
      <c r="N33"/>
      <c r="O33"/>
      <c r="P33"/>
      <c r="Q33"/>
      <c r="R33"/>
      <c r="S33"/>
      <c r="T33"/>
    </row>
    <row r="34" spans="1:20" s="48" customFormat="1" ht="21" customHeight="1">
      <c r="A34" s="63"/>
      <c r="B34" s="64"/>
      <c r="C34" s="65"/>
      <c r="D34" s="66"/>
      <c r="E34" s="66"/>
      <c r="F34" s="67"/>
      <c r="G34" s="67"/>
      <c r="H34" s="67"/>
      <c r="I34" s="67"/>
      <c r="J34" s="67"/>
      <c r="K34"/>
      <c r="L34"/>
      <c r="M34"/>
      <c r="N34"/>
      <c r="O34"/>
      <c r="P34"/>
      <c r="Q34"/>
      <c r="R34"/>
      <c r="S34"/>
      <c r="T34"/>
    </row>
    <row r="35" spans="1:20" s="48" customFormat="1" ht="0.75" hidden="1" customHeight="1">
      <c r="A35" s="63"/>
      <c r="B35" s="64"/>
      <c r="C35" s="65"/>
      <c r="D35" s="66"/>
      <c r="E35" s="66"/>
      <c r="F35" s="67"/>
      <c r="G35" s="67"/>
      <c r="H35" s="67"/>
      <c r="I35" s="67"/>
      <c r="J35" s="67"/>
      <c r="K35"/>
      <c r="L35"/>
      <c r="M35"/>
      <c r="N35"/>
      <c r="O35"/>
      <c r="P35"/>
      <c r="Q35"/>
      <c r="R35"/>
      <c r="S35"/>
      <c r="T35"/>
    </row>
    <row r="36" spans="1:20" s="48" customFormat="1" ht="3.75" hidden="1" customHeight="1">
      <c r="A36" s="63"/>
      <c r="B36" s="64"/>
      <c r="C36" s="65"/>
      <c r="D36" s="66"/>
      <c r="E36" s="66"/>
      <c r="F36" s="67"/>
      <c r="G36" s="67"/>
      <c r="H36" s="67"/>
      <c r="I36" s="67"/>
      <c r="J36" s="67"/>
      <c r="K36"/>
      <c r="L36"/>
      <c r="M36"/>
      <c r="N36"/>
      <c r="O36"/>
      <c r="P36"/>
      <c r="Q36"/>
      <c r="R36"/>
      <c r="S36"/>
      <c r="T36"/>
    </row>
    <row r="37" spans="1:20" s="48" customFormat="1" ht="9.75" hidden="1" customHeight="1">
      <c r="A37" s="70"/>
      <c r="B37" s="71"/>
      <c r="C37" s="72"/>
      <c r="D37" s="73"/>
      <c r="E37" s="73"/>
      <c r="F37" s="74"/>
      <c r="G37" s="74"/>
      <c r="H37" s="74"/>
      <c r="I37" s="74"/>
      <c r="J37" s="74"/>
      <c r="K37"/>
      <c r="L37"/>
      <c r="M37"/>
      <c r="N37"/>
      <c r="O37"/>
      <c r="P37"/>
      <c r="Q37"/>
      <c r="R37"/>
      <c r="S37"/>
      <c r="T37"/>
    </row>
    <row r="38" spans="1:20" s="48" customFormat="1" ht="9.75" hidden="1" customHeight="1">
      <c r="A38" s="70"/>
      <c r="B38" s="71"/>
      <c r="C38" s="72"/>
      <c r="D38" s="73"/>
      <c r="E38" s="73"/>
      <c r="F38" s="74"/>
      <c r="G38" s="74"/>
      <c r="H38" s="74"/>
      <c r="I38" s="74"/>
      <c r="J38" s="74"/>
      <c r="K38"/>
      <c r="L38"/>
      <c r="M38"/>
      <c r="N38"/>
      <c r="O38"/>
      <c r="P38"/>
      <c r="Q38"/>
      <c r="R38"/>
      <c r="S38"/>
      <c r="T38"/>
    </row>
    <row r="39" spans="1:20" s="48" customFormat="1" ht="9.75" hidden="1" customHeight="1">
      <c r="A39" s="70"/>
      <c r="B39" s="71"/>
      <c r="C39" s="72"/>
      <c r="D39" s="73"/>
      <c r="E39" s="73"/>
      <c r="F39" s="74"/>
      <c r="G39" s="74"/>
      <c r="H39" s="74"/>
      <c r="I39" s="74"/>
      <c r="J39" s="74"/>
      <c r="K39"/>
      <c r="L39"/>
      <c r="M39"/>
      <c r="N39"/>
      <c r="O39"/>
      <c r="P39"/>
      <c r="Q39"/>
      <c r="R39"/>
      <c r="S39"/>
      <c r="T39"/>
    </row>
    <row r="40" spans="1:20" s="48" customFormat="1" ht="9.75" hidden="1" customHeight="1">
      <c r="A40" s="70"/>
      <c r="B40" s="71"/>
      <c r="C40" s="72"/>
      <c r="D40" s="73"/>
      <c r="E40" s="73"/>
      <c r="F40" s="74"/>
      <c r="G40" s="74"/>
      <c r="H40" s="74"/>
      <c r="I40" s="74"/>
      <c r="J40" s="74"/>
      <c r="K40"/>
      <c r="L40"/>
      <c r="M40"/>
      <c r="N40"/>
      <c r="O40"/>
      <c r="P40"/>
      <c r="Q40"/>
      <c r="R40"/>
      <c r="S40"/>
      <c r="T40"/>
    </row>
    <row r="41" spans="1:20" s="48" customFormat="1" ht="9.75" hidden="1" customHeight="1">
      <c r="A41" s="70"/>
      <c r="B41" s="71"/>
      <c r="C41" s="72"/>
      <c r="D41" s="73"/>
      <c r="E41" s="73"/>
      <c r="F41" s="74"/>
      <c r="G41" s="74"/>
      <c r="H41" s="74"/>
      <c r="I41" s="74"/>
      <c r="J41" s="74"/>
      <c r="K41"/>
      <c r="L41"/>
      <c r="M41"/>
      <c r="N41"/>
      <c r="O41"/>
      <c r="P41"/>
      <c r="Q41"/>
      <c r="R41"/>
      <c r="S41"/>
      <c r="T41"/>
    </row>
    <row r="42" spans="1:20" s="48" customFormat="1" ht="9.75" hidden="1" customHeight="1">
      <c r="A42" s="70"/>
      <c r="B42" s="71"/>
      <c r="C42" s="72"/>
      <c r="D42" s="73"/>
      <c r="E42" s="73"/>
      <c r="F42" s="74"/>
      <c r="G42" s="74"/>
      <c r="H42" s="74"/>
      <c r="I42" s="74"/>
      <c r="J42" s="74"/>
      <c r="K42"/>
      <c r="L42"/>
      <c r="M42"/>
      <c r="N42"/>
      <c r="O42"/>
      <c r="P42"/>
      <c r="Q42"/>
      <c r="R42"/>
      <c r="S42"/>
      <c r="T42"/>
    </row>
    <row r="43" spans="1:20" s="48" customFormat="1" ht="6.75" hidden="1" customHeight="1">
      <c r="A43" s="70"/>
      <c r="B43" s="71"/>
      <c r="C43" s="72"/>
      <c r="D43" s="73"/>
      <c r="E43" s="73"/>
      <c r="F43" s="74"/>
      <c r="G43" s="74"/>
      <c r="H43" s="74"/>
      <c r="I43" s="74"/>
      <c r="J43" s="74"/>
      <c r="K43"/>
      <c r="L43"/>
      <c r="M43"/>
      <c r="N43"/>
      <c r="O43"/>
      <c r="P43"/>
      <c r="Q43"/>
      <c r="R43"/>
      <c r="S43"/>
      <c r="T43"/>
    </row>
    <row r="44" spans="1:20" s="48" customFormat="1" ht="9.75" hidden="1" customHeight="1">
      <c r="A44" s="70"/>
      <c r="B44" s="71"/>
      <c r="C44" s="72"/>
      <c r="D44" s="73"/>
      <c r="E44" s="73"/>
      <c r="F44" s="74"/>
      <c r="G44" s="74"/>
      <c r="H44" s="74"/>
      <c r="I44" s="74"/>
      <c r="J44" s="74"/>
      <c r="K44"/>
      <c r="L44"/>
      <c r="M44"/>
      <c r="N44"/>
      <c r="O44"/>
      <c r="P44"/>
      <c r="Q44"/>
      <c r="R44"/>
      <c r="S44"/>
      <c r="T44"/>
    </row>
    <row r="45" spans="1:20" s="48" customFormat="1" ht="18.75" hidden="1" customHeight="1">
      <c r="A45" s="70"/>
      <c r="B45" s="46" t="s">
        <v>78</v>
      </c>
      <c r="C45" s="72"/>
      <c r="D45" s="73"/>
      <c r="E45" s="73"/>
      <c r="F45" s="74"/>
      <c r="G45" s="74"/>
      <c r="H45" s="74"/>
      <c r="I45" s="74"/>
      <c r="J45" s="74"/>
      <c r="K45"/>
      <c r="L45"/>
      <c r="M45"/>
      <c r="N45"/>
      <c r="O45"/>
      <c r="P45"/>
      <c r="Q45"/>
      <c r="R45"/>
      <c r="S45"/>
      <c r="T45"/>
    </row>
    <row r="46" spans="1:20" ht="9.75" hidden="1" customHeight="1">
      <c r="A46" s="70"/>
      <c r="B46" s="71"/>
      <c r="C46" s="72"/>
      <c r="D46" s="73"/>
      <c r="E46" s="73"/>
      <c r="F46" s="74"/>
      <c r="G46" s="74"/>
      <c r="H46" s="74"/>
      <c r="I46" s="74"/>
      <c r="J46" s="74"/>
    </row>
    <row r="47" spans="1:20" ht="9.75" hidden="1" customHeight="1">
      <c r="A47" s="70"/>
      <c r="B47" s="71"/>
      <c r="C47" s="72"/>
      <c r="D47" s="73"/>
      <c r="E47" s="73"/>
      <c r="F47" s="74"/>
      <c r="G47" s="74"/>
      <c r="H47" s="74"/>
      <c r="I47" s="74"/>
      <c r="J47" s="74"/>
    </row>
    <row r="48" spans="1:20" ht="9.75" hidden="1" customHeight="1">
      <c r="A48" s="70"/>
      <c r="B48" s="71"/>
      <c r="C48" s="72"/>
      <c r="D48" s="73"/>
      <c r="E48" s="73"/>
      <c r="F48" s="74"/>
      <c r="G48" s="74"/>
      <c r="H48" s="74"/>
      <c r="I48" s="74"/>
      <c r="J48" s="74"/>
    </row>
    <row r="49" spans="1:20" ht="9.75" hidden="1" customHeight="1">
      <c r="A49" s="70"/>
      <c r="B49" s="71"/>
      <c r="C49" s="72"/>
      <c r="D49" s="73"/>
      <c r="E49" s="73"/>
      <c r="F49" s="74"/>
      <c r="G49" s="74"/>
      <c r="H49" s="74"/>
      <c r="I49" s="74"/>
      <c r="J49" s="74"/>
    </row>
    <row r="50" spans="1:20" ht="30.75" hidden="1" customHeight="1">
      <c r="A50" s="70"/>
      <c r="B50" s="265" t="s">
        <v>96</v>
      </c>
      <c r="C50" s="265"/>
      <c r="D50" s="265"/>
      <c r="E50" s="265"/>
      <c r="F50" s="265"/>
      <c r="G50" s="265"/>
      <c r="H50" s="265"/>
      <c r="I50" s="265"/>
      <c r="J50" s="75"/>
    </row>
    <row r="51" spans="1:20" ht="6" hidden="1" customHeight="1">
      <c r="A51" s="70"/>
      <c r="B51" s="71"/>
      <c r="C51" s="72"/>
      <c r="D51" s="73"/>
      <c r="E51" s="73"/>
      <c r="F51" s="74"/>
      <c r="G51" s="74"/>
      <c r="H51" s="74"/>
      <c r="I51" s="74"/>
      <c r="J51" s="74"/>
    </row>
    <row r="52" spans="1:20" ht="25.5" hidden="1" customHeight="1">
      <c r="A52" s="195" t="s">
        <v>79</v>
      </c>
      <c r="B52" s="198" t="s">
        <v>80</v>
      </c>
      <c r="C52" s="207" t="s">
        <v>1</v>
      </c>
      <c r="D52" s="210" t="s">
        <v>97</v>
      </c>
      <c r="E52" s="211"/>
      <c r="F52" s="216" t="s">
        <v>98</v>
      </c>
      <c r="G52" s="217"/>
      <c r="H52" s="217"/>
      <c r="I52" s="217"/>
      <c r="J52" s="218"/>
    </row>
    <row r="53" spans="1:20" ht="44.25" hidden="1" customHeight="1" thickBot="1">
      <c r="A53" s="196"/>
      <c r="B53" s="199"/>
      <c r="C53" s="208"/>
      <c r="D53" s="212"/>
      <c r="E53" s="213"/>
      <c r="F53" s="219"/>
      <c r="G53" s="220"/>
      <c r="H53" s="220"/>
      <c r="I53" s="220"/>
      <c r="J53" s="221"/>
    </row>
    <row r="54" spans="1:20" ht="45.75" hidden="1" customHeight="1" thickBot="1">
      <c r="A54" s="196"/>
      <c r="B54" s="199"/>
      <c r="C54" s="208"/>
      <c r="D54" s="214"/>
      <c r="E54" s="215"/>
      <c r="F54" s="222" t="s">
        <v>99</v>
      </c>
      <c r="G54" s="223"/>
      <c r="H54" s="223"/>
      <c r="I54" s="223"/>
      <c r="J54" s="224"/>
    </row>
    <row r="55" spans="1:20" ht="65.25" hidden="1" customHeight="1" thickBot="1">
      <c r="A55" s="197"/>
      <c r="B55" s="200"/>
      <c r="C55" s="209"/>
      <c r="D55" s="76" t="s">
        <v>100</v>
      </c>
      <c r="E55" s="77" t="s">
        <v>101</v>
      </c>
      <c r="F55" s="78">
        <v>1250</v>
      </c>
      <c r="G55" s="78">
        <v>1500</v>
      </c>
      <c r="H55" s="78">
        <v>1750</v>
      </c>
      <c r="I55" s="78">
        <v>1800</v>
      </c>
      <c r="J55" s="78">
        <v>2000</v>
      </c>
    </row>
    <row r="56" spans="1:20" ht="18.75" hidden="1" customHeight="1">
      <c r="A56" s="192">
        <v>9</v>
      </c>
      <c r="B56" s="201" t="s">
        <v>102</v>
      </c>
      <c r="C56" s="204" t="s">
        <v>103</v>
      </c>
      <c r="D56" s="79">
        <v>11</v>
      </c>
      <c r="E56" s="79">
        <v>1500</v>
      </c>
      <c r="F56" s="80">
        <v>522618.87920000002</v>
      </c>
      <c r="G56" s="81">
        <v>669579.78450000007</v>
      </c>
      <c r="H56" s="81">
        <v>726048.19650000008</v>
      </c>
      <c r="I56" s="81">
        <v>765971.16054000007</v>
      </c>
      <c r="J56" s="82">
        <v>782516.60849999997</v>
      </c>
    </row>
    <row r="57" spans="1:20" ht="18.75" hidden="1" customHeight="1">
      <c r="A57" s="193"/>
      <c r="B57" s="202"/>
      <c r="C57" s="205"/>
      <c r="D57" s="83">
        <v>13</v>
      </c>
      <c r="E57" s="83">
        <v>1750</v>
      </c>
      <c r="F57" s="84">
        <v>569092.36859999993</v>
      </c>
      <c r="G57" s="85">
        <v>749171.63860000018</v>
      </c>
      <c r="H57" s="85">
        <v>907070.95762500004</v>
      </c>
      <c r="I57" s="85">
        <v>866392.38245000003</v>
      </c>
      <c r="J57" s="86">
        <v>933813.33675000002</v>
      </c>
    </row>
    <row r="58" spans="1:20" ht="18.75" hidden="1" customHeight="1">
      <c r="A58" s="193"/>
      <c r="B58" s="202"/>
      <c r="C58" s="205"/>
      <c r="D58" s="83">
        <v>14</v>
      </c>
      <c r="E58" s="83">
        <v>2000</v>
      </c>
      <c r="F58" s="84">
        <v>678515.71746666671</v>
      </c>
      <c r="G58" s="85">
        <v>784033.92800000007</v>
      </c>
      <c r="H58" s="85">
        <v>944107.96600000001</v>
      </c>
      <c r="I58" s="85">
        <v>1010227.3429600002</v>
      </c>
      <c r="J58" s="86">
        <v>1073471.9643999999</v>
      </c>
    </row>
    <row r="59" spans="1:20" ht="18.75" hidden="1" customHeight="1">
      <c r="A59" s="193"/>
      <c r="B59" s="202"/>
      <c r="C59" s="205"/>
      <c r="D59" s="83">
        <v>16</v>
      </c>
      <c r="E59" s="83">
        <v>2250</v>
      </c>
      <c r="F59" s="84">
        <v>704042.3652</v>
      </c>
      <c r="G59" s="85">
        <v>926323.73436666676</v>
      </c>
      <c r="H59" s="85">
        <v>905720.41650000005</v>
      </c>
      <c r="I59" s="85">
        <v>1146670.0749900001</v>
      </c>
      <c r="J59" s="86">
        <v>1251803.9911499999</v>
      </c>
    </row>
    <row r="60" spans="1:20" ht="18.75" hidden="1" customHeight="1">
      <c r="A60" s="193"/>
      <c r="B60" s="202"/>
      <c r="C60" s="205"/>
      <c r="D60" s="83">
        <v>18</v>
      </c>
      <c r="E60" s="83">
        <v>2500</v>
      </c>
      <c r="F60" s="84">
        <v>829535.73833333328</v>
      </c>
      <c r="G60" s="85">
        <v>980742.02766666666</v>
      </c>
      <c r="H60" s="85">
        <v>1087845.7420000001</v>
      </c>
      <c r="I60" s="85">
        <v>1247997.3695200002</v>
      </c>
      <c r="J60" s="86">
        <v>1364427.3203000003</v>
      </c>
    </row>
    <row r="61" spans="1:20" ht="18.75" hidden="1" customHeight="1">
      <c r="A61" s="193"/>
      <c r="B61" s="202"/>
      <c r="C61" s="205"/>
      <c r="D61" s="83">
        <v>20</v>
      </c>
      <c r="E61" s="83">
        <v>2750</v>
      </c>
      <c r="F61" s="84">
        <v>953557.2481666666</v>
      </c>
      <c r="G61" s="85">
        <v>1020292.6441666667</v>
      </c>
      <c r="H61" s="85">
        <v>1203817.2050000001</v>
      </c>
      <c r="I61" s="85">
        <v>1493477.8238499998</v>
      </c>
      <c r="J61" s="86">
        <v>1509904.9982500002</v>
      </c>
    </row>
    <row r="62" spans="1:20" s="48" customFormat="1" ht="7.5" hidden="1" customHeight="1" thickBot="1">
      <c r="A62" s="194"/>
      <c r="B62" s="203"/>
      <c r="C62" s="205"/>
      <c r="D62" s="87">
        <v>21</v>
      </c>
      <c r="E62" s="87">
        <v>3000</v>
      </c>
      <c r="F62" s="88">
        <v>1017773.5762</v>
      </c>
      <c r="G62" s="89">
        <v>1127938.9920000001</v>
      </c>
      <c r="H62" s="89">
        <v>1283854.2239999999</v>
      </c>
      <c r="I62" s="89">
        <v>1500587.76492</v>
      </c>
      <c r="J62" s="90">
        <v>1584335.14692</v>
      </c>
      <c r="K62"/>
      <c r="L62"/>
      <c r="M62"/>
      <c r="N62"/>
      <c r="O62"/>
      <c r="P62"/>
      <c r="Q62"/>
      <c r="R62"/>
      <c r="S62"/>
      <c r="T62"/>
    </row>
    <row r="63" spans="1:20" ht="48" hidden="1" customHeight="1" thickTop="1" thickBot="1">
      <c r="A63" s="91"/>
      <c r="B63" s="92"/>
      <c r="C63" s="93"/>
      <c r="D63" s="226" t="s">
        <v>97</v>
      </c>
      <c r="E63" s="227"/>
      <c r="F63" s="232" t="s">
        <v>104</v>
      </c>
      <c r="G63" s="233"/>
      <c r="H63" s="233"/>
      <c r="I63" s="233"/>
      <c r="J63" s="234"/>
    </row>
    <row r="64" spans="1:20" ht="66" hidden="1" customHeight="1" thickBot="1">
      <c r="A64" s="94"/>
      <c r="B64" s="95"/>
      <c r="C64" s="96"/>
      <c r="D64" s="76" t="s">
        <v>100</v>
      </c>
      <c r="E64" s="77" t="s">
        <v>101</v>
      </c>
      <c r="F64" s="78">
        <v>1250</v>
      </c>
      <c r="G64" s="78">
        <v>1500</v>
      </c>
      <c r="H64" s="78">
        <v>1750</v>
      </c>
      <c r="I64" s="78">
        <v>1800</v>
      </c>
      <c r="J64" s="78">
        <v>2000</v>
      </c>
    </row>
    <row r="65" spans="1:20" ht="3" hidden="1" customHeight="1">
      <c r="A65" s="192">
        <v>10</v>
      </c>
      <c r="B65" s="201" t="s">
        <v>105</v>
      </c>
      <c r="C65" s="204" t="s">
        <v>103</v>
      </c>
      <c r="D65" s="79">
        <v>11</v>
      </c>
      <c r="E65" s="79">
        <v>1500</v>
      </c>
      <c r="F65" s="80">
        <v>582861.45695999998</v>
      </c>
      <c r="G65" s="81">
        <v>736242.26610000001</v>
      </c>
      <c r="H65" s="81">
        <v>803821.09169999999</v>
      </c>
      <c r="I65" s="81">
        <v>852517.40542079997</v>
      </c>
      <c r="J65" s="82">
        <v>903789.07410000009</v>
      </c>
    </row>
    <row r="66" spans="1:20" ht="16.5" hidden="1" customHeight="1">
      <c r="A66" s="193"/>
      <c r="B66" s="202"/>
      <c r="C66" s="205"/>
      <c r="D66" s="83">
        <v>13</v>
      </c>
      <c r="E66" s="83">
        <v>1750</v>
      </c>
      <c r="F66" s="84">
        <v>677403.15931000002</v>
      </c>
      <c r="G66" s="85">
        <v>812612.57959999994</v>
      </c>
      <c r="H66" s="85">
        <v>853078.36026666674</v>
      </c>
      <c r="I66" s="85">
        <v>1009414.82427</v>
      </c>
      <c r="J66" s="86">
        <v>1028021.1103000001</v>
      </c>
    </row>
    <row r="67" spans="1:20" ht="16.5" hidden="1" customHeight="1">
      <c r="A67" s="193"/>
      <c r="B67" s="202"/>
      <c r="C67" s="205"/>
      <c r="D67" s="83">
        <v>14</v>
      </c>
      <c r="E67" s="83">
        <v>2000</v>
      </c>
      <c r="F67" s="84">
        <v>722931.68951333337</v>
      </c>
      <c r="G67" s="85">
        <v>836802.48640000005</v>
      </c>
      <c r="H67" s="85">
        <v>954886.50080000004</v>
      </c>
      <c r="I67" s="85">
        <v>1182721.6923328</v>
      </c>
      <c r="J67" s="86">
        <v>1170323.6284</v>
      </c>
    </row>
    <row r="68" spans="1:20" ht="16.5" hidden="1" customHeight="1">
      <c r="A68" s="193"/>
      <c r="B68" s="202"/>
      <c r="C68" s="205"/>
      <c r="D68" s="83">
        <v>16</v>
      </c>
      <c r="E68" s="83">
        <v>2250</v>
      </c>
      <c r="F68" s="84">
        <v>822007.39992</v>
      </c>
      <c r="G68" s="85">
        <v>1076161.5297000001</v>
      </c>
      <c r="H68" s="85">
        <v>1084998.4902000001</v>
      </c>
      <c r="I68" s="85">
        <v>1321302.425454</v>
      </c>
      <c r="J68" s="86">
        <v>1778679.7263000002</v>
      </c>
    </row>
    <row r="69" spans="1:20" ht="16.5" hidden="1" customHeight="1">
      <c r="A69" s="193"/>
      <c r="B69" s="202"/>
      <c r="C69" s="205"/>
      <c r="D69" s="83">
        <v>18</v>
      </c>
      <c r="E69" s="83">
        <v>2500</v>
      </c>
      <c r="F69" s="84">
        <v>938664.39846666669</v>
      </c>
      <c r="G69" s="85">
        <v>1144277.2756000001</v>
      </c>
      <c r="H69" s="85">
        <v>1175017.2296</v>
      </c>
      <c r="I69" s="85">
        <v>1284927.58072</v>
      </c>
      <c r="J69" s="86">
        <v>1488950.8883</v>
      </c>
    </row>
    <row r="70" spans="1:20" ht="16.5" hidden="1" customHeight="1">
      <c r="A70" s="193"/>
      <c r="B70" s="202"/>
      <c r="C70" s="205"/>
      <c r="D70" s="83">
        <v>20</v>
      </c>
      <c r="E70" s="83">
        <v>2750</v>
      </c>
      <c r="F70" s="84">
        <v>1120548.3061666668</v>
      </c>
      <c r="G70" s="85">
        <v>1222416.334</v>
      </c>
      <c r="H70" s="85">
        <v>1301119.8940000001</v>
      </c>
      <c r="I70" s="85">
        <v>1488950.8883000002</v>
      </c>
      <c r="J70" s="86">
        <v>1648264.51825</v>
      </c>
    </row>
    <row r="71" spans="1:20" s="48" customFormat="1" ht="16.5" hidden="1" customHeight="1" thickBot="1">
      <c r="A71" s="194"/>
      <c r="B71" s="203"/>
      <c r="C71" s="206"/>
      <c r="D71" s="97">
        <v>21</v>
      </c>
      <c r="E71" s="87">
        <v>3000</v>
      </c>
      <c r="F71" s="88">
        <v>1172602.6842700001</v>
      </c>
      <c r="G71" s="89">
        <v>1301579.1132</v>
      </c>
      <c r="H71" s="89">
        <v>1432329.7512000001</v>
      </c>
      <c r="I71" s="89">
        <v>1646090.7608400001</v>
      </c>
      <c r="J71" s="90">
        <v>1864880.1243600002</v>
      </c>
      <c r="K71"/>
      <c r="L71"/>
      <c r="M71"/>
      <c r="N71"/>
      <c r="O71"/>
      <c r="P71"/>
      <c r="Q71"/>
      <c r="R71"/>
      <c r="S71"/>
      <c r="T71"/>
    </row>
    <row r="72" spans="1:20" ht="48" hidden="1" customHeight="1" thickTop="1" thickBot="1">
      <c r="A72" s="91"/>
      <c r="B72" s="92"/>
      <c r="C72" s="98"/>
      <c r="D72" s="226" t="s">
        <v>97</v>
      </c>
      <c r="E72" s="227"/>
      <c r="F72" s="232" t="s">
        <v>106</v>
      </c>
      <c r="G72" s="233"/>
      <c r="H72" s="233"/>
      <c r="I72" s="233"/>
      <c r="J72" s="234"/>
    </row>
    <row r="73" spans="1:20" ht="67.5" hidden="1" customHeight="1" thickBot="1">
      <c r="A73" s="94"/>
      <c r="B73" s="95"/>
      <c r="C73" s="96"/>
      <c r="D73" s="76" t="s">
        <v>100</v>
      </c>
      <c r="E73" s="77" t="s">
        <v>101</v>
      </c>
      <c r="F73" s="78">
        <v>1250</v>
      </c>
      <c r="G73" s="78">
        <v>1500</v>
      </c>
      <c r="H73" s="78">
        <v>1750</v>
      </c>
      <c r="I73" s="78">
        <v>1800</v>
      </c>
      <c r="J73" s="78">
        <v>2000</v>
      </c>
    </row>
    <row r="74" spans="1:20" ht="9.75" hidden="1" customHeight="1">
      <c r="A74" s="192">
        <v>11</v>
      </c>
      <c r="B74" s="201" t="s">
        <v>105</v>
      </c>
      <c r="C74" s="204" t="s">
        <v>103</v>
      </c>
      <c r="D74" s="79">
        <v>11</v>
      </c>
      <c r="E74" s="79">
        <v>1500</v>
      </c>
      <c r="F74" s="84">
        <v>637720.17515624</v>
      </c>
      <c r="G74" s="85">
        <v>768772.36956248805</v>
      </c>
      <c r="H74" s="85">
        <v>848705.67021873593</v>
      </c>
      <c r="I74" s="85">
        <v>865393.96222498559</v>
      </c>
      <c r="J74" s="86">
        <v>932147.13024998398</v>
      </c>
    </row>
    <row r="75" spans="1:20" ht="18.75" hidden="1" customHeight="1">
      <c r="A75" s="193"/>
      <c r="B75" s="202"/>
      <c r="C75" s="205"/>
      <c r="D75" s="83">
        <v>13</v>
      </c>
      <c r="E75" s="83">
        <v>1750</v>
      </c>
      <c r="F75" s="84">
        <v>750328.19374525326</v>
      </c>
      <c r="G75" s="85">
        <v>933828.37257305766</v>
      </c>
      <c r="H75" s="85">
        <v>999006.46707668807</v>
      </c>
      <c r="I75" s="85">
        <v>1018728.993993165</v>
      </c>
      <c r="J75" s="86">
        <v>1089199.5191590721</v>
      </c>
    </row>
    <row r="76" spans="1:20" ht="18.75" hidden="1" customHeight="1">
      <c r="A76" s="193"/>
      <c r="B76" s="202"/>
      <c r="C76" s="205"/>
      <c r="D76" s="83">
        <v>14</v>
      </c>
      <c r="E76" s="83">
        <v>2000</v>
      </c>
      <c r="F76" s="84">
        <v>831877.22715146653</v>
      </c>
      <c r="G76" s="85">
        <v>953002.19363493333</v>
      </c>
      <c r="H76" s="85">
        <v>1047575.3224352</v>
      </c>
      <c r="I76" s="85">
        <v>1138885.943098112</v>
      </c>
      <c r="J76" s="86">
        <v>1265926.8066291199</v>
      </c>
    </row>
    <row r="77" spans="1:20" ht="18.75" hidden="1" customHeight="1">
      <c r="A77" s="193"/>
      <c r="B77" s="202"/>
      <c r="C77" s="205"/>
      <c r="D77" s="83">
        <v>16</v>
      </c>
      <c r="E77" s="83">
        <v>2250</v>
      </c>
      <c r="F77" s="84">
        <v>928595.31329543993</v>
      </c>
      <c r="G77" s="85">
        <v>1252905.4823504998</v>
      </c>
      <c r="H77" s="85">
        <v>1270329.11177568</v>
      </c>
      <c r="I77" s="85">
        <v>1180103.3945688</v>
      </c>
      <c r="J77" s="86">
        <v>1365699.6717912531</v>
      </c>
    </row>
    <row r="78" spans="1:20" ht="18.75" hidden="1" customHeight="1">
      <c r="A78" s="193"/>
      <c r="B78" s="202"/>
      <c r="C78" s="205"/>
      <c r="D78" s="83">
        <v>18</v>
      </c>
      <c r="E78" s="83">
        <v>2500</v>
      </c>
      <c r="F78" s="84">
        <v>995538.19704933325</v>
      </c>
      <c r="G78" s="85">
        <v>1212520.7437508665</v>
      </c>
      <c r="H78" s="85">
        <v>1334281.8217023998</v>
      </c>
      <c r="I78" s="85">
        <v>1470059.8612510399</v>
      </c>
      <c r="J78" s="86">
        <v>1563976.2401401601</v>
      </c>
    </row>
    <row r="79" spans="1:20" ht="18.75" hidden="1" customHeight="1">
      <c r="A79" s="193"/>
      <c r="B79" s="202"/>
      <c r="C79" s="205"/>
      <c r="D79" s="83">
        <v>20</v>
      </c>
      <c r="E79" s="83">
        <v>2750</v>
      </c>
      <c r="F79" s="84">
        <v>1151806.6879734667</v>
      </c>
      <c r="G79" s="85">
        <v>1342280.0188088333</v>
      </c>
      <c r="H79" s="85">
        <v>1563654.9734695998</v>
      </c>
      <c r="I79" s="85">
        <v>1505992.4069455999</v>
      </c>
      <c r="J79" s="86">
        <v>1732851.0918223998</v>
      </c>
    </row>
    <row r="80" spans="1:20" s="48" customFormat="1" ht="18.75" hidden="1" customHeight="1" thickBot="1">
      <c r="A80" s="194"/>
      <c r="B80" s="203"/>
      <c r="C80" s="206"/>
      <c r="D80" s="87">
        <v>21</v>
      </c>
      <c r="E80" s="87">
        <v>3000</v>
      </c>
      <c r="F80" s="99">
        <v>1191164.6169346399</v>
      </c>
      <c r="G80" s="100">
        <v>1386967.2870379998</v>
      </c>
      <c r="H80" s="100">
        <v>1675576.19201808</v>
      </c>
      <c r="I80" s="100">
        <v>1733445.9110428798</v>
      </c>
      <c r="J80" s="101">
        <v>1839339.8051635199</v>
      </c>
      <c r="K80"/>
      <c r="L80"/>
      <c r="M80"/>
      <c r="N80"/>
      <c r="O80"/>
      <c r="P80"/>
      <c r="Q80"/>
      <c r="R80"/>
      <c r="S80"/>
      <c r="T80"/>
    </row>
    <row r="81" spans="1:20" s="48" customFormat="1" ht="48.75" hidden="1" customHeight="1" thickTop="1" thickBot="1">
      <c r="A81" s="102"/>
      <c r="B81" s="103"/>
      <c r="C81" s="104"/>
      <c r="D81" s="226" t="s">
        <v>97</v>
      </c>
      <c r="E81" s="227"/>
      <c r="F81" s="228" t="s">
        <v>106</v>
      </c>
      <c r="G81" s="229"/>
      <c r="H81" s="229"/>
      <c r="I81" s="229"/>
      <c r="J81" s="230"/>
      <c r="K81"/>
      <c r="L81"/>
      <c r="M81"/>
      <c r="N81"/>
      <c r="O81"/>
      <c r="P81"/>
      <c r="Q81"/>
      <c r="R81"/>
      <c r="S81"/>
      <c r="T81"/>
    </row>
    <row r="82" spans="1:20" s="48" customFormat="1" ht="75" hidden="1" customHeight="1" thickBot="1">
      <c r="A82" s="105"/>
      <c r="B82" s="106"/>
      <c r="C82" s="107"/>
      <c r="D82" s="108" t="s">
        <v>107</v>
      </c>
      <c r="E82" s="77" t="s">
        <v>101</v>
      </c>
      <c r="F82" s="109">
        <v>1250</v>
      </c>
      <c r="G82" s="109">
        <v>1500</v>
      </c>
      <c r="H82" s="109">
        <v>1750</v>
      </c>
      <c r="I82" s="109">
        <v>1800</v>
      </c>
      <c r="J82" s="109">
        <v>2000</v>
      </c>
      <c r="K82"/>
      <c r="L82"/>
      <c r="M82"/>
      <c r="N82"/>
      <c r="O82"/>
      <c r="P82"/>
      <c r="Q82"/>
      <c r="R82"/>
      <c r="S82"/>
      <c r="T82"/>
    </row>
    <row r="83" spans="1:20" s="48" customFormat="1" ht="18.75" hidden="1" customHeight="1">
      <c r="A83" s="192">
        <v>12</v>
      </c>
      <c r="B83" s="201" t="s">
        <v>108</v>
      </c>
      <c r="C83" s="204" t="s">
        <v>103</v>
      </c>
      <c r="D83" s="110">
        <v>17</v>
      </c>
      <c r="E83" s="79">
        <v>1500</v>
      </c>
      <c r="F83" s="84">
        <v>883365.59487439995</v>
      </c>
      <c r="G83" s="85">
        <v>950140.20210793603</v>
      </c>
      <c r="H83" s="85">
        <v>1064143.6093855998</v>
      </c>
      <c r="I83" s="85">
        <v>1142974.7700295232</v>
      </c>
      <c r="J83" s="86">
        <v>1207572.9351323731</v>
      </c>
      <c r="K83"/>
      <c r="L83"/>
      <c r="M83"/>
      <c r="N83"/>
      <c r="O83"/>
      <c r="P83"/>
      <c r="Q83"/>
      <c r="R83"/>
      <c r="S83"/>
      <c r="T83"/>
    </row>
    <row r="84" spans="1:20" s="48" customFormat="1" ht="18.75" hidden="1" customHeight="1">
      <c r="A84" s="193"/>
      <c r="B84" s="202"/>
      <c r="C84" s="205"/>
      <c r="D84" s="111">
        <v>19</v>
      </c>
      <c r="E84" s="83">
        <v>1750</v>
      </c>
      <c r="F84" s="84">
        <v>946647.40946746664</v>
      </c>
      <c r="G84" s="85">
        <v>1065449.0857069334</v>
      </c>
      <c r="H84" s="85">
        <v>1259131.8097338772</v>
      </c>
      <c r="I84" s="85">
        <v>1287957.0413810357</v>
      </c>
      <c r="J84" s="86">
        <v>1419213.9201479466</v>
      </c>
      <c r="K84"/>
      <c r="L84"/>
      <c r="M84"/>
      <c r="N84"/>
      <c r="O84"/>
      <c r="P84"/>
      <c r="Q84"/>
      <c r="R84"/>
      <c r="S84"/>
      <c r="T84"/>
    </row>
    <row r="85" spans="1:20" s="48" customFormat="1" ht="18.75" hidden="1" customHeight="1">
      <c r="A85" s="193"/>
      <c r="B85" s="202"/>
      <c r="C85" s="205"/>
      <c r="D85" s="111">
        <v>21</v>
      </c>
      <c r="E85" s="83">
        <v>2000</v>
      </c>
      <c r="F85" s="84">
        <v>1132014.4719869331</v>
      </c>
      <c r="G85" s="85">
        <v>1299074.0785311998</v>
      </c>
      <c r="H85" s="85">
        <v>1523605.0749530664</v>
      </c>
      <c r="I85" s="85">
        <v>1488592.0625707733</v>
      </c>
      <c r="J85" s="86">
        <v>1627856.3213749332</v>
      </c>
      <c r="K85"/>
      <c r="L85"/>
      <c r="M85"/>
      <c r="N85"/>
      <c r="O85"/>
      <c r="P85"/>
      <c r="Q85"/>
      <c r="R85"/>
      <c r="S85"/>
      <c r="T85"/>
    </row>
    <row r="86" spans="1:20" s="48" customFormat="1" ht="11.25" hidden="1" customHeight="1">
      <c r="A86" s="193"/>
      <c r="B86" s="202"/>
      <c r="C86" s="205"/>
      <c r="D86" s="111">
        <v>23</v>
      </c>
      <c r="E86" s="83">
        <v>2250</v>
      </c>
      <c r="F86" s="84">
        <v>1239398.8615799998</v>
      </c>
      <c r="G86" s="85">
        <v>1491488.425146</v>
      </c>
      <c r="H86" s="85">
        <v>1695466.0887119998</v>
      </c>
      <c r="I86" s="85">
        <v>1695466.0887119998</v>
      </c>
      <c r="J86" s="86">
        <v>1778706.0304799997</v>
      </c>
      <c r="K86"/>
      <c r="L86"/>
      <c r="M86"/>
      <c r="N86"/>
      <c r="O86"/>
      <c r="P86"/>
      <c r="Q86"/>
      <c r="R86"/>
      <c r="S86"/>
      <c r="T86"/>
    </row>
    <row r="87" spans="1:20" s="48" customFormat="1" ht="18.75" hidden="1" customHeight="1">
      <c r="A87" s="193"/>
      <c r="B87" s="202"/>
      <c r="C87" s="205"/>
      <c r="D87" s="111">
        <v>27</v>
      </c>
      <c r="E87" s="83">
        <v>2500</v>
      </c>
      <c r="F87" s="84">
        <v>1398085.8268240001</v>
      </c>
      <c r="G87" s="85">
        <v>1515993.5505221332</v>
      </c>
      <c r="H87" s="85">
        <v>1707405.5658869331</v>
      </c>
      <c r="I87" s="85">
        <v>1745687.9689598933</v>
      </c>
      <c r="J87" s="86">
        <v>1975382.3873976534</v>
      </c>
      <c r="K87"/>
      <c r="L87"/>
      <c r="M87"/>
      <c r="N87"/>
      <c r="O87"/>
      <c r="P87"/>
      <c r="Q87"/>
      <c r="R87"/>
      <c r="S87"/>
      <c r="T87"/>
    </row>
    <row r="88" spans="1:20" s="48" customFormat="1" ht="18.75" hidden="1" customHeight="1">
      <c r="A88" s="193"/>
      <c r="B88" s="202"/>
      <c r="C88" s="205"/>
      <c r="D88" s="111">
        <v>29</v>
      </c>
      <c r="E88" s="83">
        <v>2750</v>
      </c>
      <c r="F88" s="84">
        <v>1439255.830007111</v>
      </c>
      <c r="G88" s="85">
        <v>1680353.7065986665</v>
      </c>
      <c r="H88" s="85">
        <v>1893033.7236706663</v>
      </c>
      <c r="I88" s="85">
        <v>1935569.7270850665</v>
      </c>
      <c r="J88" s="86">
        <v>2224814.5503029865</v>
      </c>
      <c r="K88"/>
      <c r="L88"/>
      <c r="M88"/>
      <c r="N88"/>
      <c r="O88"/>
      <c r="P88"/>
      <c r="Q88"/>
      <c r="R88"/>
      <c r="S88"/>
      <c r="T88"/>
    </row>
    <row r="89" spans="1:20" s="48" customFormat="1" ht="9" hidden="1" customHeight="1" thickBot="1">
      <c r="A89" s="194"/>
      <c r="B89" s="203"/>
      <c r="C89" s="206"/>
      <c r="D89" s="87">
        <v>32</v>
      </c>
      <c r="E89" s="87">
        <v>3000</v>
      </c>
      <c r="F89" s="99">
        <v>1610765.8438959997</v>
      </c>
      <c r="G89" s="100">
        <v>1864760.4876751998</v>
      </c>
      <c r="H89" s="100">
        <v>2098708.5064543998</v>
      </c>
      <c r="I89" s="100">
        <v>2125451.4852102399</v>
      </c>
      <c r="J89" s="101">
        <v>2300581.9252335997</v>
      </c>
      <c r="K89"/>
      <c r="L89"/>
      <c r="M89"/>
      <c r="N89"/>
      <c r="O89"/>
      <c r="P89"/>
      <c r="Q89"/>
      <c r="R89"/>
      <c r="S89"/>
      <c r="T89"/>
    </row>
    <row r="90" spans="1:20" s="48" customFormat="1" ht="3" hidden="1" customHeight="1" thickTop="1">
      <c r="A90" s="47"/>
      <c r="B90" s="112"/>
      <c r="C90" s="112"/>
      <c r="D90" s="112"/>
      <c r="E90" s="112"/>
      <c r="F90" s="112"/>
      <c r="G90" s="112"/>
      <c r="H90" s="112"/>
      <c r="I90" s="112"/>
      <c r="J90" s="112"/>
      <c r="K90"/>
      <c r="L90"/>
      <c r="M90"/>
      <c r="N90"/>
      <c r="O90"/>
      <c r="P90"/>
      <c r="Q90"/>
      <c r="R90"/>
      <c r="S90"/>
      <c r="T90"/>
    </row>
    <row r="91" spans="1:20" s="48" customFormat="1" ht="15" hidden="1" customHeight="1">
      <c r="A91" s="47"/>
      <c r="B91" s="231" t="s">
        <v>94</v>
      </c>
      <c r="C91" s="231"/>
      <c r="D91" s="231"/>
      <c r="E91" s="231"/>
      <c r="F91" s="231"/>
      <c r="G91" s="231"/>
      <c r="H91" s="231"/>
      <c r="I91" s="231"/>
      <c r="J91" s="112"/>
      <c r="K91"/>
      <c r="L91"/>
      <c r="M91"/>
      <c r="N91"/>
      <c r="O91"/>
      <c r="P91"/>
      <c r="Q91"/>
      <c r="R91"/>
      <c r="S91"/>
      <c r="T91"/>
    </row>
    <row r="92" spans="1:20" s="48" customFormat="1" ht="15" hidden="1" customHeight="1">
      <c r="A92" s="47"/>
      <c r="B92" s="225" t="s">
        <v>109</v>
      </c>
      <c r="C92" s="225"/>
      <c r="D92" s="225"/>
      <c r="E92" s="225"/>
      <c r="F92" s="225"/>
      <c r="G92" s="225"/>
      <c r="H92" s="225"/>
      <c r="I92" s="225"/>
      <c r="J92" s="225"/>
      <c r="K92"/>
      <c r="L92"/>
      <c r="M92"/>
      <c r="N92"/>
      <c r="O92"/>
      <c r="P92"/>
      <c r="Q92"/>
      <c r="R92"/>
      <c r="S92"/>
      <c r="T92"/>
    </row>
    <row r="93" spans="1:20" s="48" customFormat="1" ht="15.75" hidden="1">
      <c r="A93" s="47"/>
      <c r="B93" s="113" t="s">
        <v>95</v>
      </c>
      <c r="C93" s="112"/>
      <c r="D93" s="112"/>
      <c r="E93" s="112"/>
      <c r="F93" s="112"/>
      <c r="G93" s="112"/>
      <c r="H93" s="112"/>
      <c r="I93" s="112"/>
      <c r="J93" s="112"/>
      <c r="K93"/>
      <c r="L93"/>
      <c r="M93"/>
      <c r="N93"/>
      <c r="O93"/>
      <c r="P93"/>
      <c r="Q93"/>
      <c r="R93"/>
      <c r="S93"/>
      <c r="T93"/>
    </row>
    <row r="94" spans="1:20" s="48" customFormat="1" hidden="1">
      <c r="A94" s="47"/>
      <c r="B94" s="112"/>
      <c r="C94" s="112"/>
      <c r="D94" s="112"/>
      <c r="E94" s="112"/>
      <c r="F94" s="112"/>
      <c r="G94" s="112"/>
      <c r="H94" s="112"/>
      <c r="I94" s="112"/>
      <c r="J94" s="112"/>
      <c r="K94"/>
      <c r="L94"/>
      <c r="M94"/>
      <c r="N94"/>
      <c r="O94"/>
      <c r="P94"/>
      <c r="Q94"/>
      <c r="R94"/>
      <c r="S94"/>
      <c r="T94"/>
    </row>
    <row r="95" spans="1:20" hidden="1"/>
    <row r="96" spans="1:20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</sheetData>
  <mergeCells count="62">
    <mergeCell ref="B50:I50"/>
    <mergeCell ref="D2:E2"/>
    <mergeCell ref="F2:J2"/>
    <mergeCell ref="F8:I8"/>
    <mergeCell ref="D6:E6"/>
    <mergeCell ref="F6:J6"/>
    <mergeCell ref="D7:E7"/>
    <mergeCell ref="B22:J22"/>
    <mergeCell ref="A23:J23"/>
    <mergeCell ref="B21:I21"/>
    <mergeCell ref="F12:J12"/>
    <mergeCell ref="F11:J11"/>
    <mergeCell ref="F15:J15"/>
    <mergeCell ref="D18:E18"/>
    <mergeCell ref="D11:E16"/>
    <mergeCell ref="D17:E17"/>
    <mergeCell ref="F18:J18"/>
    <mergeCell ref="F17:J17"/>
    <mergeCell ref="F13:J13"/>
    <mergeCell ref="F14:J14"/>
    <mergeCell ref="F16:J16"/>
    <mergeCell ref="A3:A10"/>
    <mergeCell ref="B3:B10"/>
    <mergeCell ref="F4:J4"/>
    <mergeCell ref="D5:E5"/>
    <mergeCell ref="F5:J5"/>
    <mergeCell ref="D3:E3"/>
    <mergeCell ref="F3:J3"/>
    <mergeCell ref="D4:E4"/>
    <mergeCell ref="F7:J7"/>
    <mergeCell ref="F9:J9"/>
    <mergeCell ref="F10:J10"/>
    <mergeCell ref="D9:E9"/>
    <mergeCell ref="D8:E8"/>
    <mergeCell ref="D10:E10"/>
    <mergeCell ref="C56:C62"/>
    <mergeCell ref="D63:E63"/>
    <mergeCell ref="D72:E72"/>
    <mergeCell ref="F72:J72"/>
    <mergeCell ref="F63:J63"/>
    <mergeCell ref="B92:J92"/>
    <mergeCell ref="B83:B89"/>
    <mergeCell ref="C83:C89"/>
    <mergeCell ref="D81:E81"/>
    <mergeCell ref="F81:J81"/>
    <mergeCell ref="B91:I91"/>
    <mergeCell ref="A1:J1"/>
    <mergeCell ref="A83:A89"/>
    <mergeCell ref="A52:A55"/>
    <mergeCell ref="B52:B55"/>
    <mergeCell ref="A56:A62"/>
    <mergeCell ref="B56:B62"/>
    <mergeCell ref="B74:B80"/>
    <mergeCell ref="A74:A80"/>
    <mergeCell ref="A65:A71"/>
    <mergeCell ref="B65:B71"/>
    <mergeCell ref="C74:C80"/>
    <mergeCell ref="C52:C55"/>
    <mergeCell ref="D52:E54"/>
    <mergeCell ref="F52:J53"/>
    <mergeCell ref="C65:C71"/>
    <mergeCell ref="F54:J54"/>
  </mergeCells>
  <phoneticPr fontId="0" type="noConversion"/>
  <hyperlinks>
    <hyperlink ref="B45" r:id="rId1"/>
    <hyperlink ref="A1" r:id="rId2"/>
  </hyperlinks>
  <pageMargins left="0.23622047244094491" right="0.23622047244094491" top="0.23622047244094491" bottom="0.23622047244094491" header="0.23622047244094491" footer="0.23622047244094491"/>
  <pageSetup paperSize="9" scale="51" fitToHeight="0" orientation="portrait" r:id="rId3"/>
  <rowBreaks count="1" manualBreakCount="1">
    <brk id="34" max="10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2"/>
  <sheetViews>
    <sheetView view="pageBreakPreview" zoomScaleSheetLayoutView="100" workbookViewId="0">
      <selection activeCell="B7" sqref="B7:G7"/>
    </sheetView>
  </sheetViews>
  <sheetFormatPr defaultRowHeight="15" outlineLevelRow="1"/>
  <cols>
    <col min="1" max="1" width="27.7109375" customWidth="1"/>
    <col min="4" max="4" width="13.7109375" customWidth="1"/>
    <col min="5" max="6" width="5.7109375" hidden="1" customWidth="1"/>
    <col min="7" max="7" width="28.7109375" customWidth="1"/>
    <col min="8" max="8" width="0" hidden="1" customWidth="1"/>
    <col min="9" max="9" width="9.28515625" hidden="1" customWidth="1"/>
    <col min="10" max="10" width="11.140625" bestFit="1" customWidth="1"/>
    <col min="11" max="11" width="0" hidden="1" customWidth="1"/>
    <col min="12" max="12" width="9.140625" hidden="1" customWidth="1"/>
    <col min="13" max="13" width="26.28515625" customWidth="1"/>
    <col min="14" max="14" width="0" hidden="1" customWidth="1"/>
    <col min="15" max="15" width="9.42578125" hidden="1" customWidth="1"/>
    <col min="16" max="16" width="11.28515625" bestFit="1" customWidth="1"/>
    <col min="17" max="17" width="0" hidden="1" customWidth="1"/>
    <col min="18" max="18" width="9.140625" hidden="1" customWidth="1"/>
    <col min="19" max="19" width="27.5703125" customWidth="1"/>
    <col min="20" max="20" width="0" hidden="1" customWidth="1"/>
    <col min="21" max="21" width="9.42578125" hidden="1" customWidth="1"/>
    <col min="22" max="22" width="11.28515625" bestFit="1" customWidth="1"/>
    <col min="23" max="23" width="0" hidden="1" customWidth="1"/>
    <col min="24" max="24" width="9.140625" hidden="1" customWidth="1"/>
    <col min="25" max="25" width="25.85546875" customWidth="1"/>
    <col min="26" max="26" width="0" hidden="1" customWidth="1"/>
    <col min="27" max="27" width="9.42578125" hidden="1" customWidth="1"/>
    <col min="28" max="28" width="11.140625" bestFit="1" customWidth="1"/>
  </cols>
  <sheetData>
    <row r="1" spans="1:28" ht="21">
      <c r="A1" t="s">
        <v>18</v>
      </c>
      <c r="B1" s="33" t="s">
        <v>22</v>
      </c>
      <c r="C1" s="33"/>
      <c r="D1" s="33"/>
    </row>
    <row r="2" spans="1:28">
      <c r="A2" s="1" t="s">
        <v>23</v>
      </c>
      <c r="G2" s="1" t="s">
        <v>40</v>
      </c>
      <c r="M2" s="1" t="s">
        <v>21</v>
      </c>
      <c r="S2" s="1" t="s">
        <v>41</v>
      </c>
      <c r="Y2" s="1" t="s">
        <v>43</v>
      </c>
    </row>
    <row r="3" spans="1:28">
      <c r="A3" s="9" t="s">
        <v>0</v>
      </c>
      <c r="B3" s="9" t="s">
        <v>1</v>
      </c>
      <c r="C3" s="9" t="s">
        <v>2</v>
      </c>
      <c r="D3" s="9" t="s">
        <v>3</v>
      </c>
      <c r="E3" s="21"/>
      <c r="F3" s="4"/>
      <c r="G3" s="9" t="s">
        <v>0</v>
      </c>
      <c r="H3" s="9" t="s">
        <v>1</v>
      </c>
      <c r="I3" s="9" t="s">
        <v>2</v>
      </c>
      <c r="J3" s="9" t="s">
        <v>3</v>
      </c>
      <c r="M3" s="9" t="s">
        <v>0</v>
      </c>
      <c r="N3" s="9" t="s">
        <v>1</v>
      </c>
      <c r="O3" s="9" t="s">
        <v>2</v>
      </c>
      <c r="P3" s="9" t="s">
        <v>3</v>
      </c>
      <c r="S3" s="9" t="s">
        <v>0</v>
      </c>
      <c r="T3" s="9" t="s">
        <v>1</v>
      </c>
      <c r="U3" s="9" t="s">
        <v>2</v>
      </c>
      <c r="V3" s="9" t="s">
        <v>3</v>
      </c>
      <c r="Y3" s="9" t="s">
        <v>0</v>
      </c>
      <c r="Z3" s="9" t="s">
        <v>1</v>
      </c>
      <c r="AA3" s="9" t="s">
        <v>2</v>
      </c>
      <c r="AB3" s="9" t="s">
        <v>3</v>
      </c>
    </row>
    <row r="4" spans="1:28" hidden="1" outlineLevel="1">
      <c r="A4" s="1" t="s">
        <v>4</v>
      </c>
      <c r="B4" s="8" t="s">
        <v>8</v>
      </c>
      <c r="C4" s="1">
        <v>10</v>
      </c>
      <c r="D4" s="1">
        <f>9354780/1.2/1000*2.96*C4</f>
        <v>230751.24</v>
      </c>
      <c r="E4" s="4"/>
      <c r="F4" s="4"/>
      <c r="G4" s="1" t="s">
        <v>4</v>
      </c>
      <c r="H4" s="8" t="s">
        <v>8</v>
      </c>
      <c r="I4" s="1">
        <v>11</v>
      </c>
      <c r="J4" s="1">
        <f>9354780/1.2/1000*2.96*I4</f>
        <v>253826.364</v>
      </c>
      <c r="M4" s="1" t="s">
        <v>4</v>
      </c>
      <c r="N4" s="1" t="s">
        <v>8</v>
      </c>
      <c r="O4" s="1">
        <v>12</v>
      </c>
      <c r="P4" s="1">
        <f>9354780/1.2/1000*2.96*O4</f>
        <v>276901.48800000001</v>
      </c>
      <c r="S4" s="1" t="s">
        <v>4</v>
      </c>
      <c r="T4" s="1" t="s">
        <v>8</v>
      </c>
      <c r="U4" s="1">
        <v>12</v>
      </c>
      <c r="V4" s="1">
        <f>9354780/1.2/1000*2.96*U4</f>
        <v>276901.48800000001</v>
      </c>
      <c r="Y4" s="1" t="s">
        <v>4</v>
      </c>
      <c r="Z4" s="1" t="s">
        <v>8</v>
      </c>
      <c r="AA4" s="1">
        <v>14</v>
      </c>
      <c r="AB4" s="1">
        <f>9354780/1.2/1000*2.96*AA4</f>
        <v>323051.73599999998</v>
      </c>
    </row>
    <row r="5" spans="1:28" hidden="1" outlineLevel="1">
      <c r="A5" s="1" t="s">
        <v>5</v>
      </c>
      <c r="B5" s="8" t="s">
        <v>8</v>
      </c>
      <c r="C5" s="1">
        <v>7</v>
      </c>
      <c r="D5" s="1">
        <f>10874266/1.2/1000*1.48*C5</f>
        <v>93881.16313333335</v>
      </c>
      <c r="E5" s="4"/>
      <c r="F5" s="4"/>
      <c r="G5" s="1" t="s">
        <v>5</v>
      </c>
      <c r="H5" s="8" t="s">
        <v>8</v>
      </c>
      <c r="I5" s="1">
        <v>8.6</v>
      </c>
      <c r="J5" s="1">
        <f>10874266/1.2/1000*1.48*I5</f>
        <v>115339.71470666668</v>
      </c>
      <c r="M5" s="1" t="s">
        <v>5</v>
      </c>
      <c r="N5" s="1" t="s">
        <v>8</v>
      </c>
      <c r="O5" s="1">
        <v>8</v>
      </c>
      <c r="P5" s="1">
        <f>10874266/1.2/1000*1.48*O5</f>
        <v>107292.75786666668</v>
      </c>
      <c r="S5" s="1" t="s">
        <v>5</v>
      </c>
      <c r="T5" s="1" t="s">
        <v>8</v>
      </c>
      <c r="U5" s="1">
        <v>9</v>
      </c>
      <c r="V5" s="1">
        <f>10874266/1.2/1000*1.48*U5</f>
        <v>120704.35260000001</v>
      </c>
      <c r="Y5" s="1" t="s">
        <v>5</v>
      </c>
      <c r="Z5" s="1" t="s">
        <v>8</v>
      </c>
      <c r="AA5" s="1">
        <v>9</v>
      </c>
      <c r="AB5" s="1">
        <f>10874266/1.2/1000*1.48*AA5</f>
        <v>120704.35260000001</v>
      </c>
    </row>
    <row r="6" spans="1:28" hidden="1" outlineLevel="1">
      <c r="A6" s="1" t="s">
        <v>6</v>
      </c>
      <c r="B6" s="8" t="s">
        <v>8</v>
      </c>
      <c r="C6" s="1">
        <v>6.6</v>
      </c>
      <c r="D6" s="1">
        <f>9351600/1.2/1000*1.08*C6</f>
        <v>55548.504000000001</v>
      </c>
      <c r="E6" s="4"/>
      <c r="F6" s="4"/>
      <c r="G6" s="1" t="s">
        <v>6</v>
      </c>
      <c r="H6" s="8" t="s">
        <v>8</v>
      </c>
      <c r="I6" s="1">
        <v>8</v>
      </c>
      <c r="J6" s="1">
        <f>9351600/1.2/1000*1.08*I6</f>
        <v>67331.520000000004</v>
      </c>
      <c r="M6" s="1" t="s">
        <v>6</v>
      </c>
      <c r="N6" s="1" t="s">
        <v>8</v>
      </c>
      <c r="O6" s="1">
        <v>8.6</v>
      </c>
      <c r="P6" s="1">
        <f>9351600/1.2/1000*1.08*O6</f>
        <v>72381.384000000005</v>
      </c>
      <c r="S6" s="1" t="s">
        <v>6</v>
      </c>
      <c r="T6" s="1" t="s">
        <v>8</v>
      </c>
      <c r="U6" s="1">
        <v>12</v>
      </c>
      <c r="V6" s="1">
        <f>9351600/1.2/1000*1.08*U6</f>
        <v>100997.28</v>
      </c>
      <c r="Y6" s="1" t="s">
        <v>6</v>
      </c>
      <c r="Z6" s="1" t="s">
        <v>8</v>
      </c>
      <c r="AA6" s="1">
        <v>12</v>
      </c>
      <c r="AB6" s="1">
        <f>9351600/1.2/1000*1.08*AA6</f>
        <v>100997.28</v>
      </c>
    </row>
    <row r="7" spans="1:28" hidden="1" outlineLevel="1">
      <c r="A7" s="1" t="s">
        <v>7</v>
      </c>
      <c r="B7" s="8" t="s">
        <v>8</v>
      </c>
      <c r="C7" s="1">
        <v>2.2999999999999998</v>
      </c>
      <c r="D7" s="1">
        <f>9819177/1.2/1000*7.13*C7</f>
        <v>134187.23635249998</v>
      </c>
      <c r="E7" s="4"/>
      <c r="F7" s="4"/>
      <c r="G7" s="1" t="s">
        <v>7</v>
      </c>
      <c r="H7" s="8" t="s">
        <v>8</v>
      </c>
      <c r="I7" s="1">
        <v>2.2999999999999998</v>
      </c>
      <c r="J7" s="1">
        <f>9819177/1.2/1000*7.13*I7</f>
        <v>134187.23635249998</v>
      </c>
      <c r="M7" s="1" t="s">
        <v>7</v>
      </c>
      <c r="N7" s="1" t="s">
        <v>8</v>
      </c>
      <c r="O7" s="1">
        <v>2.2999999999999998</v>
      </c>
      <c r="P7" s="1">
        <f>9819177/1.2/1000*7.13*O7</f>
        <v>134187.23635249998</v>
      </c>
      <c r="S7" s="1" t="s">
        <v>7</v>
      </c>
      <c r="T7" s="1" t="s">
        <v>8</v>
      </c>
      <c r="U7" s="1">
        <v>2.2999999999999998</v>
      </c>
      <c r="V7" s="1">
        <f>9819177/1.2/1000*7.13*U7</f>
        <v>134187.23635249998</v>
      </c>
      <c r="Y7" s="1" t="s">
        <v>7</v>
      </c>
      <c r="Z7" s="1" t="s">
        <v>8</v>
      </c>
      <c r="AA7" s="1">
        <v>2.2999999999999998</v>
      </c>
      <c r="AB7" s="1">
        <f>9819177/1.2/1000*7.13*AA7</f>
        <v>134187.23635249998</v>
      </c>
    </row>
    <row r="8" spans="1:28" hidden="1" outlineLevel="1">
      <c r="A8" s="2" t="s">
        <v>9</v>
      </c>
      <c r="B8" s="10" t="s">
        <v>10</v>
      </c>
      <c r="C8" s="1">
        <v>1</v>
      </c>
      <c r="D8" s="1">
        <f>2076000/1.2</f>
        <v>1730000</v>
      </c>
      <c r="E8" s="4"/>
      <c r="F8" s="4"/>
      <c r="G8" s="2" t="s">
        <v>9</v>
      </c>
      <c r="H8" s="10" t="s">
        <v>10</v>
      </c>
      <c r="I8" s="1">
        <v>1</v>
      </c>
      <c r="J8" s="1">
        <f>2076000/1.2</f>
        <v>1730000</v>
      </c>
      <c r="M8" s="2" t="s">
        <v>9</v>
      </c>
      <c r="N8" s="2" t="s">
        <v>10</v>
      </c>
      <c r="O8" s="1">
        <v>1</v>
      </c>
      <c r="P8" s="1">
        <f>2076000/1.2</f>
        <v>1730000</v>
      </c>
      <c r="S8" s="2" t="s">
        <v>9</v>
      </c>
      <c r="T8" s="2" t="s">
        <v>10</v>
      </c>
      <c r="U8" s="1">
        <v>1</v>
      </c>
      <c r="V8" s="1">
        <f>2076000/1.2</f>
        <v>1730000</v>
      </c>
      <c r="Y8" s="2" t="s">
        <v>9</v>
      </c>
      <c r="Z8" s="2" t="s">
        <v>10</v>
      </c>
      <c r="AA8" s="1">
        <v>1</v>
      </c>
      <c r="AB8" s="1">
        <f>2076000/1.2</f>
        <v>1730000</v>
      </c>
    </row>
    <row r="9" spans="1:28" hidden="1" outlineLevel="1">
      <c r="A9" s="2" t="s">
        <v>11</v>
      </c>
      <c r="B9" s="11"/>
      <c r="C9" s="5"/>
      <c r="D9" s="7">
        <v>120000</v>
      </c>
      <c r="E9" s="22"/>
      <c r="G9" s="2" t="s">
        <v>11</v>
      </c>
      <c r="H9" s="11"/>
      <c r="I9" s="5"/>
      <c r="J9" s="7">
        <v>120000</v>
      </c>
      <c r="M9" s="2" t="s">
        <v>11</v>
      </c>
      <c r="N9" s="3"/>
      <c r="O9" s="5"/>
      <c r="P9" s="7">
        <v>120000</v>
      </c>
      <c r="S9" s="2" t="s">
        <v>11</v>
      </c>
      <c r="T9" s="3"/>
      <c r="U9" s="5"/>
      <c r="V9" s="7">
        <v>120000</v>
      </c>
      <c r="Y9" s="2" t="s">
        <v>11</v>
      </c>
      <c r="Z9" s="3"/>
      <c r="AA9" s="5"/>
      <c r="AB9" s="7">
        <v>120000</v>
      </c>
    </row>
    <row r="10" spans="1:28" hidden="1" outlineLevel="1">
      <c r="A10" s="2" t="s">
        <v>12</v>
      </c>
      <c r="B10" s="11"/>
      <c r="C10" s="5"/>
      <c r="D10" s="7">
        <v>670000</v>
      </c>
      <c r="E10" s="22"/>
      <c r="G10" s="2" t="s">
        <v>12</v>
      </c>
      <c r="H10" s="11"/>
      <c r="I10" s="5"/>
      <c r="J10" s="7">
        <v>670000</v>
      </c>
      <c r="M10" s="2" t="s">
        <v>12</v>
      </c>
      <c r="N10" s="3"/>
      <c r="O10" s="5"/>
      <c r="P10" s="7">
        <v>670000</v>
      </c>
      <c r="S10" s="2" t="s">
        <v>12</v>
      </c>
      <c r="T10" s="3"/>
      <c r="U10" s="5"/>
      <c r="V10" s="7">
        <v>670000</v>
      </c>
      <c r="Y10" s="2" t="s">
        <v>12</v>
      </c>
      <c r="Z10" s="3"/>
      <c r="AA10" s="5"/>
      <c r="AB10" s="7">
        <v>670000</v>
      </c>
    </row>
    <row r="11" spans="1:28" hidden="1" outlineLevel="1">
      <c r="A11" s="2" t="s">
        <v>13</v>
      </c>
      <c r="B11" s="8" t="s">
        <v>14</v>
      </c>
      <c r="C11" s="5">
        <f>(0.2*C4)+(0.13*C5)+(0.08*C6)+(0.32*C7)+0.28</f>
        <v>4.4540000000000006</v>
      </c>
      <c r="D11" s="1">
        <f>C11*25000</f>
        <v>111350.00000000001</v>
      </c>
      <c r="E11" s="4"/>
      <c r="G11" s="2" t="s">
        <v>13</v>
      </c>
      <c r="H11" s="8" t="s">
        <v>14</v>
      </c>
      <c r="I11" s="5">
        <f>(0.2*I4)+(0.13*I5)+(0.08*I6)+(0.32*I7)+0.28</f>
        <v>4.9740000000000002</v>
      </c>
      <c r="J11" s="1">
        <f>I11*25000</f>
        <v>124350</v>
      </c>
      <c r="M11" s="2" t="s">
        <v>13</v>
      </c>
      <c r="N11" s="1" t="s">
        <v>14</v>
      </c>
      <c r="O11" s="5">
        <f>(0.2*O4)+(0.13*O5)+(0.08*O6)+(0.32*O7)+0.28</f>
        <v>5.1440000000000001</v>
      </c>
      <c r="P11" s="1">
        <f>O11*25000</f>
        <v>128600</v>
      </c>
      <c r="S11" s="2" t="s">
        <v>13</v>
      </c>
      <c r="T11" s="1" t="s">
        <v>14</v>
      </c>
      <c r="U11" s="5">
        <f>(0.2*U4)+(0.13*U5)+(0.08*U6)+(0.32*U7)+0.28</f>
        <v>5.5460000000000003</v>
      </c>
      <c r="V11" s="1">
        <f>U11*25000</f>
        <v>138650</v>
      </c>
      <c r="Y11" s="2" t="s">
        <v>13</v>
      </c>
      <c r="Z11" s="1" t="s">
        <v>14</v>
      </c>
      <c r="AA11" s="5">
        <f>(0.2*AA4)+(0.13*AA5)+(0.08*AA6)+(0.32*AA7)+0.28</f>
        <v>5.9459999999999997</v>
      </c>
      <c r="AB11" s="1">
        <f>AA11*25000</f>
        <v>148650</v>
      </c>
    </row>
    <row r="12" spans="1:28" hidden="1" outlineLevel="1">
      <c r="A12" s="2" t="s">
        <v>15</v>
      </c>
      <c r="B12" s="10" t="s">
        <v>14</v>
      </c>
      <c r="C12" s="1">
        <v>6.9</v>
      </c>
      <c r="D12" s="6">
        <f>64320*0.88/1.2*C12</f>
        <v>325459.20000000001</v>
      </c>
      <c r="E12" s="4"/>
      <c r="G12" s="2" t="s">
        <v>15</v>
      </c>
      <c r="H12" s="10" t="s">
        <v>14</v>
      </c>
      <c r="I12" s="1">
        <v>9.1999999999999993</v>
      </c>
      <c r="J12" s="6">
        <f>63420*0.88/1.2*I12</f>
        <v>427873.6</v>
      </c>
      <c r="M12" s="2" t="s">
        <v>15</v>
      </c>
      <c r="N12" s="2" t="s">
        <v>14</v>
      </c>
      <c r="O12" s="1">
        <v>9.1999999999999993</v>
      </c>
      <c r="P12" s="6">
        <f>54000/1.2*O12</f>
        <v>413999.99999999994</v>
      </c>
      <c r="S12" s="2" t="s">
        <v>15</v>
      </c>
      <c r="T12" s="2" t="s">
        <v>14</v>
      </c>
      <c r="U12" s="1">
        <v>11.5</v>
      </c>
      <c r="V12" s="6">
        <f>63420*0.88/1.2*U12</f>
        <v>534842</v>
      </c>
      <c r="Y12" s="2" t="s">
        <v>15</v>
      </c>
      <c r="Z12" s="2" t="s">
        <v>14</v>
      </c>
      <c r="AA12" s="1">
        <v>11.5</v>
      </c>
      <c r="AB12" s="6">
        <f>63420*0.88/1.2*AA12</f>
        <v>534842</v>
      </c>
    </row>
    <row r="13" spans="1:28" hidden="1" outlineLevel="1">
      <c r="A13" s="2" t="s">
        <v>16</v>
      </c>
      <c r="B13" s="10" t="s">
        <v>10</v>
      </c>
      <c r="C13" s="1">
        <v>1</v>
      </c>
      <c r="D13" s="1">
        <v>180000</v>
      </c>
      <c r="E13" s="4"/>
      <c r="G13" s="2" t="s">
        <v>16</v>
      </c>
      <c r="H13" s="10" t="s">
        <v>10</v>
      </c>
      <c r="I13" s="1">
        <v>1</v>
      </c>
      <c r="J13" s="1">
        <v>180000</v>
      </c>
      <c r="M13" s="2" t="s">
        <v>16</v>
      </c>
      <c r="N13" s="2" t="s">
        <v>10</v>
      </c>
      <c r="O13" s="1">
        <v>1</v>
      </c>
      <c r="P13" s="1">
        <v>180000</v>
      </c>
      <c r="S13" s="2" t="s">
        <v>16</v>
      </c>
      <c r="T13" s="2" t="s">
        <v>10</v>
      </c>
      <c r="U13" s="1">
        <v>1</v>
      </c>
      <c r="V13" s="1">
        <v>180000</v>
      </c>
      <c r="Y13" s="2" t="s">
        <v>16</v>
      </c>
      <c r="Z13" s="2" t="s">
        <v>10</v>
      </c>
      <c r="AA13" s="1">
        <v>1</v>
      </c>
      <c r="AB13" s="1">
        <v>180000</v>
      </c>
    </row>
    <row r="14" spans="1:28" hidden="1" outlineLevel="1">
      <c r="A14" s="2" t="s">
        <v>17</v>
      </c>
      <c r="B14" s="10" t="s">
        <v>10</v>
      </c>
      <c r="C14" s="1"/>
      <c r="D14" s="7">
        <v>871000</v>
      </c>
      <c r="E14" s="22"/>
      <c r="F14" t="s">
        <v>42</v>
      </c>
      <c r="G14" s="2" t="s">
        <v>17</v>
      </c>
      <c r="H14" s="10" t="s">
        <v>10</v>
      </c>
      <c r="I14" s="1"/>
      <c r="J14" s="7">
        <v>871000</v>
      </c>
      <c r="M14" s="2" t="s">
        <v>17</v>
      </c>
      <c r="N14" s="2" t="s">
        <v>10</v>
      </c>
      <c r="O14" s="1"/>
      <c r="P14" s="7">
        <v>871000</v>
      </c>
      <c r="S14" s="2" t="s">
        <v>17</v>
      </c>
      <c r="T14" s="2" t="s">
        <v>10</v>
      </c>
      <c r="U14" s="1"/>
      <c r="V14" s="7">
        <v>871000</v>
      </c>
      <c r="Y14" s="2" t="s">
        <v>17</v>
      </c>
      <c r="Z14" s="2" t="s">
        <v>10</v>
      </c>
      <c r="AA14" s="1"/>
      <c r="AB14" s="7">
        <v>871000</v>
      </c>
    </row>
    <row r="15" spans="1:28" hidden="1" outlineLevel="1">
      <c r="A15" s="2" t="s">
        <v>48</v>
      </c>
      <c r="B15" s="10" t="s">
        <v>50</v>
      </c>
      <c r="C15" s="1"/>
      <c r="D15" s="1">
        <f>SUM(D4:D14)</f>
        <v>4522177.3434858341</v>
      </c>
      <c r="E15" s="4"/>
      <c r="G15" s="2" t="s">
        <v>48</v>
      </c>
      <c r="H15" s="10" t="s">
        <v>50</v>
      </c>
      <c r="I15" s="1"/>
      <c r="J15" s="1">
        <f>SUM(J4:J14)</f>
        <v>4693908.4350591674</v>
      </c>
      <c r="M15" s="2" t="s">
        <v>48</v>
      </c>
      <c r="N15" s="10" t="s">
        <v>50</v>
      </c>
      <c r="O15" s="1"/>
      <c r="P15" s="1">
        <f>SUM(P4:P14)</f>
        <v>4704362.8662191667</v>
      </c>
      <c r="S15" s="2" t="s">
        <v>48</v>
      </c>
      <c r="T15" s="10" t="s">
        <v>50</v>
      </c>
      <c r="U15" s="1"/>
      <c r="V15" s="1">
        <f>SUM(V4:V14)</f>
        <v>4877282.3569524996</v>
      </c>
      <c r="Y15" s="2" t="s">
        <v>48</v>
      </c>
      <c r="Z15" s="10" t="s">
        <v>50</v>
      </c>
      <c r="AA15" s="1"/>
      <c r="AB15" s="1">
        <f>SUM(AB4:AB14)</f>
        <v>4933432.6049525002</v>
      </c>
    </row>
    <row r="16" spans="1:28" hidden="1" outlineLevel="1">
      <c r="A16" s="2" t="s">
        <v>49</v>
      </c>
      <c r="B16" s="10" t="s">
        <v>51</v>
      </c>
      <c r="C16" s="1">
        <v>90</v>
      </c>
      <c r="D16" s="1">
        <f>D15*1.9</f>
        <v>8592136.9526230842</v>
      </c>
      <c r="E16" s="4"/>
      <c r="G16" s="2" t="s">
        <v>49</v>
      </c>
      <c r="H16" s="10" t="s">
        <v>51</v>
      </c>
      <c r="I16" s="1">
        <v>90</v>
      </c>
      <c r="J16" s="1">
        <f>J15*1.9</f>
        <v>8918426.0266124178</v>
      </c>
      <c r="M16" s="2" t="s">
        <v>49</v>
      </c>
      <c r="N16" s="10" t="s">
        <v>51</v>
      </c>
      <c r="O16" s="1">
        <v>90</v>
      </c>
      <c r="P16" s="1">
        <f>P15*1.9</f>
        <v>8938289.4458164163</v>
      </c>
      <c r="S16" s="2" t="s">
        <v>49</v>
      </c>
      <c r="T16" s="10" t="s">
        <v>51</v>
      </c>
      <c r="U16" s="1">
        <v>90</v>
      </c>
      <c r="V16" s="1">
        <f>V15*1.9</f>
        <v>9266836.4782097489</v>
      </c>
      <c r="Y16" s="2" t="s">
        <v>49</v>
      </c>
      <c r="Z16" s="10" t="s">
        <v>51</v>
      </c>
      <c r="AA16" s="1">
        <v>90</v>
      </c>
      <c r="AB16" s="1">
        <f>AB15*1.9</f>
        <v>9373521.9494097494</v>
      </c>
    </row>
    <row r="17" spans="1:28" hidden="1" outlineLevel="1">
      <c r="A17" s="2" t="s">
        <v>52</v>
      </c>
      <c r="B17" s="10" t="s">
        <v>51</v>
      </c>
      <c r="C17" s="2">
        <v>20</v>
      </c>
      <c r="D17" s="1">
        <f>D16*0.2</f>
        <v>1718427.3905246169</v>
      </c>
      <c r="E17" s="4"/>
      <c r="G17" s="2" t="s">
        <v>52</v>
      </c>
      <c r="H17" s="10" t="s">
        <v>51</v>
      </c>
      <c r="I17" s="2">
        <v>20</v>
      </c>
      <c r="J17" s="1">
        <f>J16*0.2</f>
        <v>1783685.2053224836</v>
      </c>
      <c r="M17" s="2" t="s">
        <v>52</v>
      </c>
      <c r="N17" s="10" t="s">
        <v>51</v>
      </c>
      <c r="O17" s="2">
        <v>20</v>
      </c>
      <c r="P17" s="1">
        <f>P16*0.2</f>
        <v>1787657.8891632834</v>
      </c>
      <c r="S17" s="2" t="s">
        <v>52</v>
      </c>
      <c r="T17" s="10" t="s">
        <v>51</v>
      </c>
      <c r="U17" s="2">
        <v>20</v>
      </c>
      <c r="V17" s="1">
        <f>V16*0.2</f>
        <v>1853367.2956419499</v>
      </c>
      <c r="Y17" s="2" t="s">
        <v>52</v>
      </c>
      <c r="Z17" s="10" t="s">
        <v>51</v>
      </c>
      <c r="AA17" s="2">
        <v>20</v>
      </c>
      <c r="AB17" s="1">
        <f>AB16*0.2</f>
        <v>1874704.3898819499</v>
      </c>
    </row>
    <row r="18" spans="1:28" collapsed="1">
      <c r="A18" s="2" t="s">
        <v>53</v>
      </c>
      <c r="B18" s="10"/>
      <c r="C18" s="1"/>
      <c r="D18" s="26">
        <f>D16+D17</f>
        <v>10310564.343147701</v>
      </c>
      <c r="E18" s="4"/>
      <c r="G18" s="2" t="s">
        <v>53</v>
      </c>
      <c r="H18" s="10"/>
      <c r="I18" s="1"/>
      <c r="J18" s="18">
        <f>J16+J17</f>
        <v>10702111.231934901</v>
      </c>
      <c r="M18" s="2" t="s">
        <v>53</v>
      </c>
      <c r="N18" s="10"/>
      <c r="O18" s="1"/>
      <c r="P18" s="18">
        <f>P16+P17</f>
        <v>10725947.3349797</v>
      </c>
      <c r="S18" s="2" t="s">
        <v>53</v>
      </c>
      <c r="T18" s="10"/>
      <c r="U18" s="1"/>
      <c r="V18" s="18">
        <f>V16+V17</f>
        <v>11120203.773851698</v>
      </c>
      <c r="Y18" s="2" t="s">
        <v>53</v>
      </c>
      <c r="Z18" s="10"/>
      <c r="AA18" s="1"/>
      <c r="AB18" s="18">
        <f>AB16+AB17</f>
        <v>11248226.339291699</v>
      </c>
    </row>
    <row r="19" spans="1:28">
      <c r="D19" s="4"/>
      <c r="E19" s="4"/>
      <c r="J19" s="4"/>
      <c r="P19" s="4"/>
      <c r="V19" s="4"/>
    </row>
    <row r="20" spans="1:28">
      <c r="D20" s="4"/>
      <c r="E20" s="4"/>
      <c r="J20" s="4"/>
      <c r="P20" s="4"/>
      <c r="V20" s="4"/>
    </row>
    <row r="21" spans="1:28">
      <c r="A21" s="1" t="s">
        <v>44</v>
      </c>
      <c r="E21" s="4"/>
      <c r="G21" s="1" t="s">
        <v>45</v>
      </c>
      <c r="M21" s="1" t="s">
        <v>46</v>
      </c>
      <c r="S21" s="1" t="s">
        <v>47</v>
      </c>
      <c r="Y21" s="1" t="s">
        <v>59</v>
      </c>
    </row>
    <row r="22" spans="1:28">
      <c r="A22" s="9" t="s">
        <v>0</v>
      </c>
      <c r="B22" s="9" t="s">
        <v>1</v>
      </c>
      <c r="C22" s="9" t="s">
        <v>2</v>
      </c>
      <c r="D22" s="9" t="s">
        <v>3</v>
      </c>
      <c r="E22" s="4"/>
      <c r="F22" s="4"/>
      <c r="G22" s="9" t="s">
        <v>0</v>
      </c>
      <c r="H22" s="9" t="s">
        <v>1</v>
      </c>
      <c r="I22" s="9" t="s">
        <v>2</v>
      </c>
      <c r="J22" s="9" t="s">
        <v>3</v>
      </c>
      <c r="M22" s="9" t="s">
        <v>0</v>
      </c>
      <c r="N22" s="9" t="s">
        <v>1</v>
      </c>
      <c r="O22" s="9" t="s">
        <v>2</v>
      </c>
      <c r="P22" s="9" t="s">
        <v>3</v>
      </c>
      <c r="S22" s="9" t="s">
        <v>0</v>
      </c>
      <c r="T22" s="9" t="s">
        <v>1</v>
      </c>
      <c r="U22" s="9" t="s">
        <v>2</v>
      </c>
      <c r="V22" s="9" t="s">
        <v>3</v>
      </c>
      <c r="Y22" s="9" t="s">
        <v>0</v>
      </c>
      <c r="Z22" s="9" t="s">
        <v>1</v>
      </c>
      <c r="AA22" s="9" t="s">
        <v>2</v>
      </c>
      <c r="AB22" s="9" t="s">
        <v>3</v>
      </c>
    </row>
    <row r="23" spans="1:28" hidden="1" outlineLevel="1">
      <c r="A23" s="1" t="s">
        <v>4</v>
      </c>
      <c r="B23" s="8" t="s">
        <v>8</v>
      </c>
      <c r="C23" s="1">
        <v>10</v>
      </c>
      <c r="D23" s="1">
        <f>9354780/1.2/1000*2.96*C23</f>
        <v>230751.24</v>
      </c>
      <c r="E23" s="4"/>
      <c r="F23" s="4"/>
      <c r="G23" s="1" t="s">
        <v>4</v>
      </c>
      <c r="H23" s="8" t="s">
        <v>8</v>
      </c>
      <c r="I23" s="1">
        <v>10</v>
      </c>
      <c r="J23" s="1">
        <f>9354780/1.2/1000*2.96*I23</f>
        <v>230751.24</v>
      </c>
      <c r="M23" s="1" t="s">
        <v>4</v>
      </c>
      <c r="N23" s="1" t="s">
        <v>8</v>
      </c>
      <c r="O23" s="1">
        <v>10</v>
      </c>
      <c r="P23" s="1">
        <f>9354780/1.2/1000*2.96*O23</f>
        <v>230751.24</v>
      </c>
      <c r="S23" s="1" t="s">
        <v>4</v>
      </c>
      <c r="T23" s="1" t="s">
        <v>8</v>
      </c>
      <c r="U23" s="1">
        <v>11</v>
      </c>
      <c r="V23" s="1">
        <f>9354780/1.2/1000*2.96*U23</f>
        <v>253826.364</v>
      </c>
      <c r="Y23" s="1" t="s">
        <v>4</v>
      </c>
      <c r="Z23" s="1" t="s">
        <v>8</v>
      </c>
      <c r="AA23" s="1">
        <v>11</v>
      </c>
      <c r="AB23" s="1">
        <f>9354780/1.2/1000*2.96*AA23</f>
        <v>253826.364</v>
      </c>
    </row>
    <row r="24" spans="1:28" hidden="1" outlineLevel="1">
      <c r="A24" s="1" t="s">
        <v>5</v>
      </c>
      <c r="B24" s="8" t="s">
        <v>8</v>
      </c>
      <c r="C24" s="1">
        <v>6.2</v>
      </c>
      <c r="D24" s="1">
        <f>10874266/1.2/1000*1.48*C24</f>
        <v>83151.887346666685</v>
      </c>
      <c r="E24" s="4"/>
      <c r="F24" s="4"/>
      <c r="G24" s="1" t="s">
        <v>5</v>
      </c>
      <c r="H24" s="8" t="s">
        <v>8</v>
      </c>
      <c r="I24" s="1">
        <v>7</v>
      </c>
      <c r="J24" s="1">
        <f>10874266/1.2/1000*1.48*I24</f>
        <v>93881.16313333335</v>
      </c>
      <c r="M24" s="1" t="s">
        <v>5</v>
      </c>
      <c r="N24" s="1" t="s">
        <v>8</v>
      </c>
      <c r="O24" s="1">
        <v>7.2</v>
      </c>
      <c r="P24" s="1">
        <f>10874266/1.2/1000*1.48*O24</f>
        <v>96563.482080000016</v>
      </c>
      <c r="S24" s="1" t="s">
        <v>5</v>
      </c>
      <c r="T24" s="1" t="s">
        <v>8</v>
      </c>
      <c r="U24" s="1">
        <v>8</v>
      </c>
      <c r="V24" s="1">
        <f>10874266/1.2/1000*1.48*U24</f>
        <v>107292.75786666668</v>
      </c>
      <c r="Y24" s="1" t="s">
        <v>5</v>
      </c>
      <c r="Z24" s="1" t="s">
        <v>8</v>
      </c>
      <c r="AA24" s="1">
        <v>8</v>
      </c>
      <c r="AB24" s="1">
        <f>10874266/1.2/1000*1.48*AA24</f>
        <v>107292.75786666668</v>
      </c>
    </row>
    <row r="25" spans="1:28" hidden="1" outlineLevel="1">
      <c r="A25" s="1" t="s">
        <v>6</v>
      </c>
      <c r="B25" s="8" t="s">
        <v>8</v>
      </c>
      <c r="C25" s="1">
        <v>6.6</v>
      </c>
      <c r="D25" s="1">
        <f>9351600/1.2/1000*1.08*C25</f>
        <v>55548.504000000001</v>
      </c>
      <c r="E25" s="4"/>
      <c r="F25" s="4"/>
      <c r="G25" s="1" t="s">
        <v>6</v>
      </c>
      <c r="H25" s="8" t="s">
        <v>8</v>
      </c>
      <c r="I25" s="1">
        <v>8</v>
      </c>
      <c r="J25" s="1">
        <f>9351600/1.2/1000*1.08*I25</f>
        <v>67331.520000000004</v>
      </c>
      <c r="M25" s="1" t="s">
        <v>6</v>
      </c>
      <c r="N25" s="1" t="s">
        <v>8</v>
      </c>
      <c r="O25" s="1">
        <v>8.6</v>
      </c>
      <c r="P25" s="1">
        <f>9351600/1.2/1000*1.08*O25</f>
        <v>72381.384000000005</v>
      </c>
      <c r="S25" s="1" t="s">
        <v>6</v>
      </c>
      <c r="T25" s="1" t="s">
        <v>8</v>
      </c>
      <c r="U25" s="1">
        <v>9</v>
      </c>
      <c r="V25" s="1">
        <f>9351600/1.2/1000*1.08*U25</f>
        <v>75747.960000000006</v>
      </c>
      <c r="Y25" s="1" t="s">
        <v>6</v>
      </c>
      <c r="Z25" s="1" t="s">
        <v>8</v>
      </c>
      <c r="AA25" s="1">
        <v>11</v>
      </c>
      <c r="AB25" s="1">
        <f>9351600/1.2/1000*1.08*AA25</f>
        <v>92580.840000000011</v>
      </c>
    </row>
    <row r="26" spans="1:28" hidden="1" outlineLevel="1">
      <c r="A26" s="1" t="s">
        <v>7</v>
      </c>
      <c r="B26" s="8" t="s">
        <v>8</v>
      </c>
      <c r="C26" s="1">
        <v>2.0499999999999998</v>
      </c>
      <c r="D26" s="1">
        <f>9819177/1.2/1000*7.13*C26</f>
        <v>119601.66718374999</v>
      </c>
      <c r="E26" s="4"/>
      <c r="F26" s="4"/>
      <c r="G26" s="1" t="s">
        <v>7</v>
      </c>
      <c r="H26" s="8" t="s">
        <v>8</v>
      </c>
      <c r="I26" s="1">
        <v>2.0499999999999998</v>
      </c>
      <c r="J26" s="1">
        <f>9819177/1.2/1000*7.13*I26</f>
        <v>119601.66718374999</v>
      </c>
      <c r="M26" s="1" t="s">
        <v>7</v>
      </c>
      <c r="N26" s="1" t="s">
        <v>8</v>
      </c>
      <c r="O26" s="1">
        <v>2.0499999999999998</v>
      </c>
      <c r="P26" s="1">
        <f>9819177/1.2/1000*7.13*O26</f>
        <v>119601.66718374999</v>
      </c>
      <c r="S26" s="1" t="s">
        <v>7</v>
      </c>
      <c r="T26" s="1" t="s">
        <v>8</v>
      </c>
      <c r="U26" s="1">
        <v>2.0499999999999998</v>
      </c>
      <c r="V26" s="1">
        <f>9819177/1.2/1000*7.13*U26</f>
        <v>119601.66718374999</v>
      </c>
      <c r="Y26" s="1" t="s">
        <v>7</v>
      </c>
      <c r="Z26" s="1" t="s">
        <v>8</v>
      </c>
      <c r="AA26" s="1">
        <v>2.0499999999999998</v>
      </c>
      <c r="AB26" s="1">
        <f>9819177/1.2/1000*7.13*AA26</f>
        <v>119601.66718374999</v>
      </c>
    </row>
    <row r="27" spans="1:28" hidden="1" outlineLevel="1">
      <c r="A27" s="2" t="s">
        <v>9</v>
      </c>
      <c r="B27" s="10" t="s">
        <v>10</v>
      </c>
      <c r="C27" s="1">
        <v>1</v>
      </c>
      <c r="D27" s="1">
        <f>2076000/1.2</f>
        <v>1730000</v>
      </c>
      <c r="E27" s="4"/>
      <c r="F27" s="4"/>
      <c r="G27" s="2" t="s">
        <v>9</v>
      </c>
      <c r="H27" s="10" t="s">
        <v>10</v>
      </c>
      <c r="I27" s="1">
        <v>1</v>
      </c>
      <c r="J27" s="1">
        <f>2076000/1.2</f>
        <v>1730000</v>
      </c>
      <c r="M27" s="2" t="s">
        <v>9</v>
      </c>
      <c r="N27" s="2" t="s">
        <v>10</v>
      </c>
      <c r="O27" s="1">
        <v>1</v>
      </c>
      <c r="P27" s="1">
        <f>2076000/1.2</f>
        <v>1730000</v>
      </c>
      <c r="S27" s="2" t="s">
        <v>9</v>
      </c>
      <c r="T27" s="2" t="s">
        <v>10</v>
      </c>
      <c r="U27" s="1">
        <v>1</v>
      </c>
      <c r="V27" s="1">
        <f>2076000/1.2</f>
        <v>1730000</v>
      </c>
      <c r="Y27" s="2" t="s">
        <v>9</v>
      </c>
      <c r="Z27" s="2" t="s">
        <v>10</v>
      </c>
      <c r="AA27" s="1">
        <v>1</v>
      </c>
      <c r="AB27" s="1">
        <f>2076000/1.2</f>
        <v>1730000</v>
      </c>
    </row>
    <row r="28" spans="1:28" hidden="1" outlineLevel="1">
      <c r="A28" s="2" t="s">
        <v>11</v>
      </c>
      <c r="B28" s="11"/>
      <c r="C28" s="5"/>
      <c r="D28" s="7">
        <v>120000</v>
      </c>
      <c r="E28" s="22"/>
      <c r="G28" s="2" t="s">
        <v>11</v>
      </c>
      <c r="H28" s="11"/>
      <c r="I28" s="5"/>
      <c r="J28" s="7">
        <v>120000</v>
      </c>
      <c r="M28" s="2" t="s">
        <v>11</v>
      </c>
      <c r="N28" s="3"/>
      <c r="O28" s="5"/>
      <c r="P28" s="7">
        <v>120000</v>
      </c>
      <c r="S28" s="2" t="s">
        <v>11</v>
      </c>
      <c r="T28" s="3"/>
      <c r="U28" s="5"/>
      <c r="V28" s="7">
        <v>120000</v>
      </c>
      <c r="Y28" s="2" t="s">
        <v>11</v>
      </c>
      <c r="Z28" s="3"/>
      <c r="AA28" s="5"/>
      <c r="AB28" s="7">
        <v>120000</v>
      </c>
    </row>
    <row r="29" spans="1:28" hidden="1" outlineLevel="1">
      <c r="A29" s="2" t="s">
        <v>12</v>
      </c>
      <c r="B29" s="11"/>
      <c r="C29" s="5"/>
      <c r="D29" s="7">
        <v>670000</v>
      </c>
      <c r="E29" s="22"/>
      <c r="G29" s="2" t="s">
        <v>12</v>
      </c>
      <c r="H29" s="11"/>
      <c r="I29" s="5"/>
      <c r="J29" s="7">
        <v>670000</v>
      </c>
      <c r="M29" s="2" t="s">
        <v>12</v>
      </c>
      <c r="N29" s="3"/>
      <c r="O29" s="5"/>
      <c r="P29" s="7">
        <v>670000</v>
      </c>
      <c r="S29" s="2" t="s">
        <v>12</v>
      </c>
      <c r="T29" s="3"/>
      <c r="U29" s="5"/>
      <c r="V29" s="7">
        <v>670000</v>
      </c>
      <c r="Y29" s="2" t="s">
        <v>12</v>
      </c>
      <c r="Z29" s="3"/>
      <c r="AA29" s="5"/>
      <c r="AB29" s="7">
        <v>670000</v>
      </c>
    </row>
    <row r="30" spans="1:28" hidden="1" outlineLevel="1">
      <c r="A30" s="2" t="s">
        <v>13</v>
      </c>
      <c r="B30" s="8" t="s">
        <v>14</v>
      </c>
      <c r="C30" s="5">
        <f>(0.2*C23)+(0.13*C24)+(0.08*C25)+(0.32*C26)+0.28</f>
        <v>4.2700000000000005</v>
      </c>
      <c r="D30" s="1">
        <f>C30*25000</f>
        <v>106750.00000000001</v>
      </c>
      <c r="E30" s="4"/>
      <c r="G30" s="2" t="s">
        <v>13</v>
      </c>
      <c r="H30" s="8" t="s">
        <v>14</v>
      </c>
      <c r="I30" s="5">
        <f>(0.2*I23)+(0.13*I24)+(0.08*I25)+(0.32*I26)+0.28</f>
        <v>4.4860000000000007</v>
      </c>
      <c r="J30" s="1">
        <f>I30*25000</f>
        <v>112150.00000000001</v>
      </c>
      <c r="M30" s="2" t="s">
        <v>13</v>
      </c>
      <c r="N30" s="1" t="s">
        <v>14</v>
      </c>
      <c r="O30" s="5">
        <f>(0.2*O23)+(0.13*O24)+(0.08*O25)+(0.32*O26)+0.28</f>
        <v>4.5599999999999996</v>
      </c>
      <c r="P30" s="1">
        <f>O30*25000</f>
        <v>113999.99999999999</v>
      </c>
      <c r="S30" s="2" t="s">
        <v>13</v>
      </c>
      <c r="T30" s="1" t="s">
        <v>14</v>
      </c>
      <c r="U30" s="5">
        <f>(0.2*U23)+(0.13*U24)+(0.08*U25)+(0.32*U26)+0.28</f>
        <v>4.8959999999999999</v>
      </c>
      <c r="V30" s="1">
        <f>U30*25000</f>
        <v>122400</v>
      </c>
      <c r="Y30" s="2" t="s">
        <v>13</v>
      </c>
      <c r="Z30" s="1" t="s">
        <v>14</v>
      </c>
      <c r="AA30" s="5">
        <f>(0.2*AA23)+(0.13*AA24)+(0.08*AA25)+(0.32*AA26)+0.28</f>
        <v>5.056</v>
      </c>
      <c r="AB30" s="1">
        <f>AA30*25000</f>
        <v>126400</v>
      </c>
    </row>
    <row r="31" spans="1:28" hidden="1" outlineLevel="1">
      <c r="A31" s="2" t="s">
        <v>15</v>
      </c>
      <c r="B31" s="10" t="s">
        <v>14</v>
      </c>
      <c r="C31" s="1">
        <v>6.9</v>
      </c>
      <c r="D31" s="6">
        <f>64320*0.88/1.2*C31</f>
        <v>325459.20000000001</v>
      </c>
      <c r="E31" s="4"/>
      <c r="G31" s="2" t="s">
        <v>15</v>
      </c>
      <c r="H31" s="10" t="s">
        <v>14</v>
      </c>
      <c r="I31" s="1">
        <v>9.1999999999999993</v>
      </c>
      <c r="J31" s="6">
        <f>63420*0.88/1.2*I31</f>
        <v>427873.6</v>
      </c>
      <c r="M31" s="2" t="s">
        <v>15</v>
      </c>
      <c r="N31" s="2" t="s">
        <v>14</v>
      </c>
      <c r="O31" s="1">
        <v>9.1999999999999993</v>
      </c>
      <c r="P31" s="6">
        <f>63420*0.88/1.2*O31</f>
        <v>427873.6</v>
      </c>
      <c r="S31" s="2" t="s">
        <v>15</v>
      </c>
      <c r="T31" s="2" t="s">
        <v>14</v>
      </c>
      <c r="U31" s="1">
        <v>11.5</v>
      </c>
      <c r="V31" s="6">
        <f>63420*0.88/1.2*U31</f>
        <v>534842</v>
      </c>
      <c r="Y31" s="2" t="s">
        <v>15</v>
      </c>
      <c r="Z31" s="2" t="s">
        <v>14</v>
      </c>
      <c r="AA31" s="1">
        <v>11.5</v>
      </c>
      <c r="AB31" s="6">
        <f>63420*0.88/1.2*AA31</f>
        <v>534842</v>
      </c>
    </row>
    <row r="32" spans="1:28" hidden="1" outlineLevel="1">
      <c r="A32" s="2" t="s">
        <v>16</v>
      </c>
      <c r="B32" s="10" t="s">
        <v>10</v>
      </c>
      <c r="C32" s="1">
        <v>1</v>
      </c>
      <c r="D32" s="1">
        <v>180000</v>
      </c>
      <c r="E32" s="4"/>
      <c r="G32" s="2" t="s">
        <v>16</v>
      </c>
      <c r="H32" s="10" t="s">
        <v>10</v>
      </c>
      <c r="I32" s="1">
        <v>1</v>
      </c>
      <c r="J32" s="1">
        <v>180000</v>
      </c>
      <c r="M32" s="2" t="s">
        <v>16</v>
      </c>
      <c r="N32" s="2" t="s">
        <v>10</v>
      </c>
      <c r="O32" s="1">
        <v>1</v>
      </c>
      <c r="P32" s="1">
        <v>180000</v>
      </c>
      <c r="S32" s="2" t="s">
        <v>16</v>
      </c>
      <c r="T32" s="2" t="s">
        <v>10</v>
      </c>
      <c r="U32" s="1">
        <v>1</v>
      </c>
      <c r="V32" s="1">
        <v>180000</v>
      </c>
      <c r="Y32" s="2" t="s">
        <v>16</v>
      </c>
      <c r="Z32" s="2" t="s">
        <v>10</v>
      </c>
      <c r="AA32" s="1">
        <v>1</v>
      </c>
      <c r="AB32" s="1">
        <v>180000</v>
      </c>
    </row>
    <row r="33" spans="1:28" hidden="1" outlineLevel="1">
      <c r="A33" s="2" t="s">
        <v>17</v>
      </c>
      <c r="B33" s="10" t="s">
        <v>10</v>
      </c>
      <c r="C33" s="1"/>
      <c r="D33" s="7">
        <v>871000</v>
      </c>
      <c r="E33" s="22"/>
      <c r="F33" t="s">
        <v>42</v>
      </c>
      <c r="G33" s="2" t="s">
        <v>17</v>
      </c>
      <c r="H33" s="10" t="s">
        <v>10</v>
      </c>
      <c r="I33" s="1"/>
      <c r="J33" s="7">
        <v>871000</v>
      </c>
      <c r="M33" s="2" t="s">
        <v>17</v>
      </c>
      <c r="N33" s="2" t="s">
        <v>10</v>
      </c>
      <c r="O33" s="1"/>
      <c r="P33" s="7">
        <v>871000</v>
      </c>
      <c r="S33" s="2" t="s">
        <v>17</v>
      </c>
      <c r="T33" s="2" t="s">
        <v>10</v>
      </c>
      <c r="U33" s="1"/>
      <c r="V33" s="7">
        <v>871000</v>
      </c>
      <c r="Y33" s="2" t="s">
        <v>17</v>
      </c>
      <c r="Z33" s="2" t="s">
        <v>10</v>
      </c>
      <c r="AA33" s="1"/>
      <c r="AB33" s="7">
        <v>871000</v>
      </c>
    </row>
    <row r="34" spans="1:28" hidden="1" outlineLevel="1">
      <c r="A34" s="2" t="s">
        <v>48</v>
      </c>
      <c r="B34" s="10" t="s">
        <v>50</v>
      </c>
      <c r="C34" s="1"/>
      <c r="D34" s="1">
        <f>SUM(D23:D33)</f>
        <v>4492262.4985304167</v>
      </c>
      <c r="E34" s="4"/>
      <c r="G34" s="2" t="s">
        <v>48</v>
      </c>
      <c r="H34" s="10" t="s">
        <v>50</v>
      </c>
      <c r="I34" s="1"/>
      <c r="J34" s="1">
        <f>SUM(J23:J33)</f>
        <v>4622589.1903170832</v>
      </c>
      <c r="M34" s="2" t="s">
        <v>48</v>
      </c>
      <c r="N34" s="10" t="s">
        <v>50</v>
      </c>
      <c r="O34" s="1"/>
      <c r="P34" s="1">
        <f>SUM(P23:P33)</f>
        <v>4632171.3732637502</v>
      </c>
      <c r="S34" s="2" t="s">
        <v>48</v>
      </c>
      <c r="T34" s="10" t="s">
        <v>50</v>
      </c>
      <c r="U34" s="1"/>
      <c r="V34" s="1">
        <f>SUM(V23:V33)</f>
        <v>4784710.749050417</v>
      </c>
      <c r="Y34" s="2" t="s">
        <v>48</v>
      </c>
      <c r="Z34" s="10" t="s">
        <v>50</v>
      </c>
      <c r="AA34" s="1"/>
      <c r="AB34" s="1">
        <f>SUM(AB23:AB33)</f>
        <v>4805543.6290504169</v>
      </c>
    </row>
    <row r="35" spans="1:28" hidden="1" outlineLevel="1">
      <c r="A35" s="2" t="s">
        <v>49</v>
      </c>
      <c r="B35" s="10" t="s">
        <v>51</v>
      </c>
      <c r="C35" s="1">
        <v>90</v>
      </c>
      <c r="D35" s="1">
        <f>D34*1.9</f>
        <v>8535298.7472077906</v>
      </c>
      <c r="E35" s="4"/>
      <c r="G35" s="2" t="s">
        <v>49</v>
      </c>
      <c r="H35" s="10" t="s">
        <v>51</v>
      </c>
      <c r="I35" s="1">
        <v>90</v>
      </c>
      <c r="J35" s="1">
        <f>J34*1.9</f>
        <v>8782919.4616024569</v>
      </c>
      <c r="M35" s="2" t="s">
        <v>49</v>
      </c>
      <c r="N35" s="10" t="s">
        <v>51</v>
      </c>
      <c r="O35" s="1">
        <v>90</v>
      </c>
      <c r="P35" s="1">
        <f>P34*1.9</f>
        <v>8801125.6092011258</v>
      </c>
      <c r="S35" s="2" t="s">
        <v>49</v>
      </c>
      <c r="T35" s="10" t="s">
        <v>51</v>
      </c>
      <c r="U35" s="1">
        <v>90</v>
      </c>
      <c r="V35" s="1">
        <f>V34*1.9</f>
        <v>9090950.4231957924</v>
      </c>
      <c r="Y35" s="2" t="s">
        <v>49</v>
      </c>
      <c r="Z35" s="10" t="s">
        <v>51</v>
      </c>
      <c r="AA35" s="1">
        <v>90</v>
      </c>
      <c r="AB35" s="1">
        <f>AB34*1.9</f>
        <v>9130532.8951957915</v>
      </c>
    </row>
    <row r="36" spans="1:28" hidden="1" outlineLevel="1">
      <c r="A36" s="2" t="s">
        <v>52</v>
      </c>
      <c r="B36" s="10" t="s">
        <v>51</v>
      </c>
      <c r="C36" s="2">
        <v>20</v>
      </c>
      <c r="D36" s="1">
        <f>D35*0.2</f>
        <v>1707059.7494415583</v>
      </c>
      <c r="E36" s="4"/>
      <c r="G36" s="2" t="s">
        <v>52</v>
      </c>
      <c r="H36" s="10" t="s">
        <v>51</v>
      </c>
      <c r="I36" s="2">
        <v>20</v>
      </c>
      <c r="J36" s="1">
        <f>J35*0.2</f>
        <v>1756583.8923204914</v>
      </c>
      <c r="M36" s="2" t="s">
        <v>52</v>
      </c>
      <c r="N36" s="10" t="s">
        <v>51</v>
      </c>
      <c r="O36" s="2">
        <v>20</v>
      </c>
      <c r="P36" s="1">
        <f>P35*0.2</f>
        <v>1760225.1218402253</v>
      </c>
      <c r="S36" s="2" t="s">
        <v>52</v>
      </c>
      <c r="T36" s="10" t="s">
        <v>51</v>
      </c>
      <c r="U36" s="2">
        <v>20</v>
      </c>
      <c r="V36" s="1">
        <f>V35*0.2</f>
        <v>1818190.0846391586</v>
      </c>
      <c r="Y36" s="2" t="s">
        <v>52</v>
      </c>
      <c r="Z36" s="10" t="s">
        <v>51</v>
      </c>
      <c r="AA36" s="2">
        <v>20</v>
      </c>
      <c r="AB36" s="1">
        <f>AB35*0.2</f>
        <v>1826106.5790391583</v>
      </c>
    </row>
    <row r="37" spans="1:28" collapsed="1">
      <c r="A37" s="2" t="s">
        <v>53</v>
      </c>
      <c r="B37" s="10"/>
      <c r="C37" s="1"/>
      <c r="D37" s="18">
        <f>D36+D35</f>
        <v>10242358.496649349</v>
      </c>
      <c r="E37" s="4"/>
      <c r="G37" s="2" t="s">
        <v>53</v>
      </c>
      <c r="H37" s="10"/>
      <c r="I37" s="1"/>
      <c r="J37" s="18">
        <f>J35+J36</f>
        <v>10539503.353922948</v>
      </c>
      <c r="M37" s="2" t="s">
        <v>53</v>
      </c>
      <c r="N37" s="10"/>
      <c r="O37" s="1"/>
      <c r="P37" s="18">
        <f>P36+P35</f>
        <v>10561350.731041351</v>
      </c>
      <c r="S37" s="2" t="s">
        <v>53</v>
      </c>
      <c r="T37" s="10"/>
      <c r="U37" s="1"/>
      <c r="V37" s="18">
        <f>V36+V35</f>
        <v>10909140.50783495</v>
      </c>
      <c r="Y37" s="2" t="s">
        <v>53</v>
      </c>
      <c r="Z37" s="10"/>
      <c r="AA37" s="1"/>
      <c r="AB37" s="18">
        <f>AB36+AB35</f>
        <v>10956639.47423495</v>
      </c>
    </row>
    <row r="39" spans="1:28" ht="26.25">
      <c r="A39" s="27" t="s">
        <v>56</v>
      </c>
    </row>
    <row r="41" spans="1:28">
      <c r="A41" s="1" t="s">
        <v>44</v>
      </c>
      <c r="E41" s="4"/>
      <c r="G41" s="1" t="s">
        <v>45</v>
      </c>
      <c r="M41" s="1" t="s">
        <v>46</v>
      </c>
      <c r="S41" s="1" t="s">
        <v>47</v>
      </c>
      <c r="Y41" s="1" t="s">
        <v>59</v>
      </c>
    </row>
    <row r="42" spans="1:28">
      <c r="A42" s="9" t="s">
        <v>0</v>
      </c>
      <c r="B42" s="9" t="s">
        <v>1</v>
      </c>
      <c r="C42" s="9" t="s">
        <v>2</v>
      </c>
      <c r="D42" s="9" t="s">
        <v>3</v>
      </c>
      <c r="E42" s="4"/>
      <c r="F42" s="4"/>
      <c r="G42" s="9" t="s">
        <v>0</v>
      </c>
      <c r="H42" s="9" t="s">
        <v>1</v>
      </c>
      <c r="I42" s="9" t="s">
        <v>2</v>
      </c>
      <c r="J42" s="9" t="s">
        <v>3</v>
      </c>
      <c r="M42" s="9" t="s">
        <v>0</v>
      </c>
      <c r="N42" s="9" t="s">
        <v>1</v>
      </c>
      <c r="O42" s="9" t="s">
        <v>2</v>
      </c>
      <c r="P42" s="9" t="s">
        <v>3</v>
      </c>
      <c r="S42" s="9" t="s">
        <v>0</v>
      </c>
      <c r="T42" s="9" t="s">
        <v>1</v>
      </c>
      <c r="U42" s="9" t="s">
        <v>2</v>
      </c>
      <c r="V42" s="9" t="s">
        <v>3</v>
      </c>
      <c r="Y42" s="9" t="s">
        <v>0</v>
      </c>
      <c r="Z42" s="9" t="s">
        <v>1</v>
      </c>
      <c r="AA42" s="9" t="s">
        <v>2</v>
      </c>
      <c r="AB42" s="9" t="s">
        <v>3</v>
      </c>
    </row>
    <row r="43" spans="1:28" hidden="1" outlineLevel="1">
      <c r="A43" s="1" t="s">
        <v>4</v>
      </c>
      <c r="B43" s="8" t="s">
        <v>8</v>
      </c>
      <c r="C43" s="1">
        <v>10</v>
      </c>
      <c r="D43" s="1">
        <f>9354780/1.2/1000*2.96*C43</f>
        <v>230751.24</v>
      </c>
      <c r="E43" s="4"/>
      <c r="F43" s="4"/>
      <c r="G43" s="1" t="s">
        <v>4</v>
      </c>
      <c r="H43" s="8" t="s">
        <v>8</v>
      </c>
      <c r="I43" s="1">
        <v>10</v>
      </c>
      <c r="J43" s="1">
        <f>9354780/1.2/1000*2.96*I43</f>
        <v>230751.24</v>
      </c>
      <c r="M43" s="1" t="s">
        <v>4</v>
      </c>
      <c r="N43" s="1" t="s">
        <v>8</v>
      </c>
      <c r="O43" s="1">
        <v>10</v>
      </c>
      <c r="P43" s="1">
        <f>9354780/1.2/1000*2.96*O43</f>
        <v>230751.24</v>
      </c>
      <c r="S43" s="1" t="s">
        <v>4</v>
      </c>
      <c r="T43" s="1" t="s">
        <v>8</v>
      </c>
      <c r="U43" s="1">
        <v>11</v>
      </c>
      <c r="V43" s="1">
        <f>9354780/1.2/1000*2.96*U43</f>
        <v>253826.364</v>
      </c>
      <c r="Y43" s="1" t="s">
        <v>4</v>
      </c>
      <c r="Z43" s="1" t="s">
        <v>8</v>
      </c>
      <c r="AA43" s="1">
        <v>11</v>
      </c>
      <c r="AB43" s="1">
        <f>9354780/1.2/1000*2.96*AA43</f>
        <v>253826.364</v>
      </c>
    </row>
    <row r="44" spans="1:28" hidden="1" outlineLevel="1">
      <c r="A44" s="1" t="s">
        <v>5</v>
      </c>
      <c r="B44" s="8" t="s">
        <v>8</v>
      </c>
      <c r="C44" s="1">
        <v>6.2</v>
      </c>
      <c r="D44" s="1">
        <f>10874266/1.2/1000*1.48*C44</f>
        <v>83151.887346666685</v>
      </c>
      <c r="E44" s="4"/>
      <c r="F44" s="4"/>
      <c r="G44" s="1" t="s">
        <v>5</v>
      </c>
      <c r="H44" s="8" t="s">
        <v>8</v>
      </c>
      <c r="I44" s="1">
        <v>7</v>
      </c>
      <c r="J44" s="1">
        <f>10874266/1.2/1000*1.48*I44</f>
        <v>93881.16313333335</v>
      </c>
      <c r="M44" s="1" t="s">
        <v>5</v>
      </c>
      <c r="N44" s="1" t="s">
        <v>8</v>
      </c>
      <c r="O44" s="1">
        <v>7.2</v>
      </c>
      <c r="P44" s="1">
        <f>10874266/1.2/1000*1.48*O44</f>
        <v>96563.482080000016</v>
      </c>
      <c r="S44" s="1" t="s">
        <v>5</v>
      </c>
      <c r="T44" s="1" t="s">
        <v>8</v>
      </c>
      <c r="U44" s="1">
        <v>8</v>
      </c>
      <c r="V44" s="1">
        <f>10874266/1.2/1000*1.48*U44</f>
        <v>107292.75786666668</v>
      </c>
      <c r="Y44" s="1" t="s">
        <v>5</v>
      </c>
      <c r="Z44" s="1" t="s">
        <v>8</v>
      </c>
      <c r="AA44" s="1">
        <v>8</v>
      </c>
      <c r="AB44" s="1">
        <f>10874266/1.2/1000*1.48*AA44</f>
        <v>107292.75786666668</v>
      </c>
    </row>
    <row r="45" spans="1:28" hidden="1" outlineLevel="1">
      <c r="A45" s="1" t="s">
        <v>6</v>
      </c>
      <c r="B45" s="8" t="s">
        <v>8</v>
      </c>
      <c r="C45" s="1">
        <v>6.6</v>
      </c>
      <c r="D45" s="1">
        <f>9351600/1.2/1000*1.08*C45</f>
        <v>55548.504000000001</v>
      </c>
      <c r="E45" s="4"/>
      <c r="F45" s="4"/>
      <c r="G45" s="1" t="s">
        <v>6</v>
      </c>
      <c r="H45" s="8" t="s">
        <v>8</v>
      </c>
      <c r="I45" s="1">
        <v>8</v>
      </c>
      <c r="J45" s="1">
        <f>9351600/1.2/1000*1.08*I45</f>
        <v>67331.520000000004</v>
      </c>
      <c r="M45" s="1" t="s">
        <v>6</v>
      </c>
      <c r="N45" s="1" t="s">
        <v>8</v>
      </c>
      <c r="O45" s="1">
        <v>8.6</v>
      </c>
      <c r="P45" s="1">
        <f>9351600/1.2/1000*1.08*O45</f>
        <v>72381.384000000005</v>
      </c>
      <c r="S45" s="1" t="s">
        <v>6</v>
      </c>
      <c r="T45" s="1" t="s">
        <v>8</v>
      </c>
      <c r="U45" s="1">
        <v>9</v>
      </c>
      <c r="V45" s="1">
        <f>9351600/1.2/1000*1.08*U45</f>
        <v>75747.960000000006</v>
      </c>
      <c r="Y45" s="1" t="s">
        <v>6</v>
      </c>
      <c r="Z45" s="1" t="s">
        <v>8</v>
      </c>
      <c r="AA45" s="1">
        <v>11</v>
      </c>
      <c r="AB45" s="1">
        <f>9351600/1.2/1000*1.08*AA45</f>
        <v>92580.840000000011</v>
      </c>
    </row>
    <row r="46" spans="1:28" hidden="1" outlineLevel="1">
      <c r="A46" s="1" t="s">
        <v>7</v>
      </c>
      <c r="B46" s="8" t="s">
        <v>8</v>
      </c>
      <c r="C46" s="1">
        <v>2.0499999999999998</v>
      </c>
      <c r="D46" s="1">
        <f>9819177/1.2/1000*7.13*C46</f>
        <v>119601.66718374999</v>
      </c>
      <c r="E46" s="4"/>
      <c r="F46" s="4"/>
      <c r="G46" s="1" t="s">
        <v>7</v>
      </c>
      <c r="H46" s="8" t="s">
        <v>8</v>
      </c>
      <c r="I46" s="1">
        <v>2.0499999999999998</v>
      </c>
      <c r="J46" s="1">
        <f>9819177/1.2/1000*7.13*I46</f>
        <v>119601.66718374999</v>
      </c>
      <c r="M46" s="1" t="s">
        <v>7</v>
      </c>
      <c r="N46" s="1" t="s">
        <v>8</v>
      </c>
      <c r="O46" s="1">
        <v>2.0499999999999998</v>
      </c>
      <c r="P46" s="1">
        <f>9819177/1.2/1000*7.13*O46</f>
        <v>119601.66718374999</v>
      </c>
      <c r="S46" s="1" t="s">
        <v>7</v>
      </c>
      <c r="T46" s="1" t="s">
        <v>8</v>
      </c>
      <c r="U46" s="1">
        <v>2.0499999999999998</v>
      </c>
      <c r="V46" s="1">
        <f>9819177/1.2/1000*7.13*U46</f>
        <v>119601.66718374999</v>
      </c>
      <c r="Y46" s="1" t="s">
        <v>7</v>
      </c>
      <c r="Z46" s="1" t="s">
        <v>8</v>
      </c>
      <c r="AA46" s="1">
        <v>2.0499999999999998</v>
      </c>
      <c r="AB46" s="1">
        <f>9819177/1.2/1000*7.13*AA46</f>
        <v>119601.66718374999</v>
      </c>
    </row>
    <row r="47" spans="1:28" hidden="1" outlineLevel="1">
      <c r="A47" s="2" t="s">
        <v>9</v>
      </c>
      <c r="B47" s="10" t="s">
        <v>10</v>
      </c>
      <c r="C47" s="1">
        <v>1</v>
      </c>
      <c r="D47" s="1">
        <f>2076000/1.2</f>
        <v>1730000</v>
      </c>
      <c r="E47" s="4"/>
      <c r="F47" s="4"/>
      <c r="G47" s="2" t="s">
        <v>9</v>
      </c>
      <c r="H47" s="10" t="s">
        <v>10</v>
      </c>
      <c r="I47" s="1">
        <v>1</v>
      </c>
      <c r="J47" s="1">
        <f>2076000/1.2</f>
        <v>1730000</v>
      </c>
      <c r="M47" s="2" t="s">
        <v>9</v>
      </c>
      <c r="N47" s="2" t="s">
        <v>10</v>
      </c>
      <c r="O47" s="1">
        <v>1</v>
      </c>
      <c r="P47" s="1">
        <f>2076000/1.2</f>
        <v>1730000</v>
      </c>
      <c r="S47" s="2" t="s">
        <v>9</v>
      </c>
      <c r="T47" s="2" t="s">
        <v>10</v>
      </c>
      <c r="U47" s="1">
        <v>1</v>
      </c>
      <c r="V47" s="1">
        <f>2076000/1.2</f>
        <v>1730000</v>
      </c>
      <c r="Y47" s="2" t="s">
        <v>9</v>
      </c>
      <c r="Z47" s="2" t="s">
        <v>10</v>
      </c>
      <c r="AA47" s="1">
        <v>1</v>
      </c>
      <c r="AB47" s="1">
        <f>2076000/1.2</f>
        <v>1730000</v>
      </c>
    </row>
    <row r="48" spans="1:28" hidden="1" outlineLevel="1">
      <c r="A48" s="2" t="s">
        <v>11</v>
      </c>
      <c r="B48" s="11"/>
      <c r="C48" s="5"/>
      <c r="D48" s="7">
        <v>120000</v>
      </c>
      <c r="E48" s="22"/>
      <c r="G48" s="2" t="s">
        <v>11</v>
      </c>
      <c r="H48" s="11"/>
      <c r="I48" s="5"/>
      <c r="J48" s="7">
        <v>120000</v>
      </c>
      <c r="M48" s="2" t="s">
        <v>11</v>
      </c>
      <c r="N48" s="3"/>
      <c r="O48" s="5"/>
      <c r="P48" s="7">
        <v>120000</v>
      </c>
      <c r="S48" s="2" t="s">
        <v>11</v>
      </c>
      <c r="T48" s="3"/>
      <c r="U48" s="5"/>
      <c r="V48" s="7">
        <v>120000</v>
      </c>
      <c r="Y48" s="2" t="s">
        <v>11</v>
      </c>
      <c r="Z48" s="3"/>
      <c r="AA48" s="5"/>
      <c r="AB48" s="7">
        <v>120000</v>
      </c>
    </row>
    <row r="49" spans="1:28" hidden="1" outlineLevel="1">
      <c r="A49" s="2" t="s">
        <v>12</v>
      </c>
      <c r="B49" s="11"/>
      <c r="C49" s="5"/>
      <c r="D49" s="7">
        <v>670000</v>
      </c>
      <c r="E49" s="22"/>
      <c r="G49" s="2" t="s">
        <v>12</v>
      </c>
      <c r="H49" s="11"/>
      <c r="I49" s="5"/>
      <c r="J49" s="7">
        <v>670000</v>
      </c>
      <c r="M49" s="2" t="s">
        <v>12</v>
      </c>
      <c r="N49" s="3"/>
      <c r="O49" s="5"/>
      <c r="P49" s="7">
        <v>670000</v>
      </c>
      <c r="S49" s="2" t="s">
        <v>12</v>
      </c>
      <c r="T49" s="3"/>
      <c r="U49" s="5"/>
      <c r="V49" s="7">
        <v>670000</v>
      </c>
      <c r="Y49" s="2" t="s">
        <v>12</v>
      </c>
      <c r="Z49" s="3"/>
      <c r="AA49" s="5"/>
      <c r="AB49" s="7">
        <v>670000</v>
      </c>
    </row>
    <row r="50" spans="1:28" hidden="1" outlineLevel="1">
      <c r="A50" s="2" t="s">
        <v>13</v>
      </c>
      <c r="B50" s="8" t="s">
        <v>14</v>
      </c>
      <c r="C50" s="5">
        <f>(0.2*C43)+(0.13*C44)+(0.08*C45)+(0.32*C46)+0.28</f>
        <v>4.2700000000000005</v>
      </c>
      <c r="D50" s="1">
        <f>C50*25000</f>
        <v>106750.00000000001</v>
      </c>
      <c r="E50" s="4"/>
      <c r="G50" s="2" t="s">
        <v>13</v>
      </c>
      <c r="H50" s="8" t="s">
        <v>14</v>
      </c>
      <c r="I50" s="5">
        <f>(0.2*I43)+(0.13*I44)+(0.08*I45)+(0.32*I46)+0.28</f>
        <v>4.4860000000000007</v>
      </c>
      <c r="J50" s="1">
        <f>I50*25000</f>
        <v>112150.00000000001</v>
      </c>
      <c r="M50" s="2" t="s">
        <v>13</v>
      </c>
      <c r="N50" s="1" t="s">
        <v>14</v>
      </c>
      <c r="O50" s="5">
        <f>(0.2*O43)+(0.13*O44)+(0.08*O45)+(0.32*O46)+0.28</f>
        <v>4.5599999999999996</v>
      </c>
      <c r="P50" s="1">
        <f>O50*25000</f>
        <v>113999.99999999999</v>
      </c>
      <c r="S50" s="2" t="s">
        <v>13</v>
      </c>
      <c r="T50" s="1" t="s">
        <v>14</v>
      </c>
      <c r="U50" s="5">
        <f>(0.2*U43)+(0.13*U44)+(0.08*U45)+(0.32*U46)+0.28</f>
        <v>4.8959999999999999</v>
      </c>
      <c r="V50" s="1">
        <f>U50*25000</f>
        <v>122400</v>
      </c>
      <c r="Y50" s="2" t="s">
        <v>13</v>
      </c>
      <c r="Z50" s="1" t="s">
        <v>14</v>
      </c>
      <c r="AA50" s="5">
        <f>(0.2*AA43)+(0.13*AA44)+(0.08*AA45)+(0.32*AA46)+0.28</f>
        <v>5.056</v>
      </c>
      <c r="AB50" s="1">
        <f>AA50*25000</f>
        <v>126400</v>
      </c>
    </row>
    <row r="51" spans="1:28" hidden="1" outlineLevel="1">
      <c r="A51" s="2" t="s">
        <v>15</v>
      </c>
      <c r="B51" s="10" t="s">
        <v>14</v>
      </c>
      <c r="C51" s="1">
        <v>6.9</v>
      </c>
      <c r="D51" s="6">
        <f>69240*0.88/1.2*C51</f>
        <v>350354.4</v>
      </c>
      <c r="E51" s="4"/>
      <c r="G51" s="2" t="s">
        <v>15</v>
      </c>
      <c r="H51" s="10" t="s">
        <v>14</v>
      </c>
      <c r="I51" s="1">
        <v>9.1999999999999993</v>
      </c>
      <c r="J51" s="6">
        <f>69240*0.88/1.2*I51</f>
        <v>467139.19999999995</v>
      </c>
      <c r="M51" s="2" t="s">
        <v>15</v>
      </c>
      <c r="N51" s="2" t="s">
        <v>14</v>
      </c>
      <c r="O51" s="1">
        <v>9.1999999999999993</v>
      </c>
      <c r="P51" s="6">
        <f>69240*0.88/1.2*O51</f>
        <v>467139.19999999995</v>
      </c>
      <c r="S51" s="2" t="s">
        <v>15</v>
      </c>
      <c r="T51" s="2" t="s">
        <v>14</v>
      </c>
      <c r="U51" s="1">
        <v>11.5</v>
      </c>
      <c r="V51" s="6">
        <f>69920*0.88/1.2*U51</f>
        <v>589658.66666666663</v>
      </c>
      <c r="Y51" s="2" t="s">
        <v>15</v>
      </c>
      <c r="Z51" s="2" t="s">
        <v>14</v>
      </c>
      <c r="AA51" s="1">
        <v>11.5</v>
      </c>
      <c r="AB51" s="6">
        <f>69920*0.88/1.2*AA51</f>
        <v>589658.66666666663</v>
      </c>
    </row>
    <row r="52" spans="1:28" hidden="1" outlineLevel="1">
      <c r="A52" s="2" t="s">
        <v>16</v>
      </c>
      <c r="B52" s="10" t="s">
        <v>10</v>
      </c>
      <c r="C52" s="1">
        <v>1</v>
      </c>
      <c r="D52" s="1">
        <v>180000</v>
      </c>
      <c r="E52" s="4"/>
      <c r="G52" s="2" t="s">
        <v>16</v>
      </c>
      <c r="H52" s="10" t="s">
        <v>10</v>
      </c>
      <c r="I52" s="1">
        <v>1</v>
      </c>
      <c r="J52" s="1">
        <v>180000</v>
      </c>
      <c r="M52" s="2" t="s">
        <v>16</v>
      </c>
      <c r="N52" s="2" t="s">
        <v>10</v>
      </c>
      <c r="O52" s="1">
        <v>1</v>
      </c>
      <c r="P52" s="1">
        <v>180000</v>
      </c>
      <c r="S52" s="2" t="s">
        <v>16</v>
      </c>
      <c r="T52" s="2" t="s">
        <v>10</v>
      </c>
      <c r="U52" s="1">
        <v>1</v>
      </c>
      <c r="V52" s="1">
        <v>180000</v>
      </c>
      <c r="Y52" s="2" t="s">
        <v>16</v>
      </c>
      <c r="Z52" s="2" t="s">
        <v>10</v>
      </c>
      <c r="AA52" s="1">
        <v>1</v>
      </c>
      <c r="AB52" s="1">
        <v>180000</v>
      </c>
    </row>
    <row r="53" spans="1:28" hidden="1" outlineLevel="1">
      <c r="A53" s="2" t="s">
        <v>17</v>
      </c>
      <c r="B53" s="10" t="s">
        <v>10</v>
      </c>
      <c r="C53" s="1"/>
      <c r="D53" s="7">
        <v>871000</v>
      </c>
      <c r="E53" s="22"/>
      <c r="F53" t="s">
        <v>42</v>
      </c>
      <c r="G53" s="2" t="s">
        <v>17</v>
      </c>
      <c r="H53" s="10" t="s">
        <v>10</v>
      </c>
      <c r="I53" s="1"/>
      <c r="J53" s="7">
        <v>871000</v>
      </c>
      <c r="M53" s="2" t="s">
        <v>17</v>
      </c>
      <c r="N53" s="2" t="s">
        <v>10</v>
      </c>
      <c r="O53" s="1"/>
      <c r="P53" s="7">
        <v>871000</v>
      </c>
      <c r="S53" s="2" t="s">
        <v>17</v>
      </c>
      <c r="T53" s="2" t="s">
        <v>10</v>
      </c>
      <c r="U53" s="1"/>
      <c r="V53" s="7">
        <v>871000</v>
      </c>
      <c r="Y53" s="2" t="s">
        <v>17</v>
      </c>
      <c r="Z53" s="2" t="s">
        <v>10</v>
      </c>
      <c r="AA53" s="1"/>
      <c r="AB53" s="7">
        <v>871000</v>
      </c>
    </row>
    <row r="54" spans="1:28" hidden="1" outlineLevel="1">
      <c r="A54" s="2" t="s">
        <v>48</v>
      </c>
      <c r="B54" s="10" t="s">
        <v>50</v>
      </c>
      <c r="C54" s="1"/>
      <c r="D54" s="1">
        <f>SUM(D43:D53)</f>
        <v>4517157.6985304169</v>
      </c>
      <c r="E54" s="4"/>
      <c r="G54" s="2" t="s">
        <v>48</v>
      </c>
      <c r="H54" s="10" t="s">
        <v>50</v>
      </c>
      <c r="I54" s="1"/>
      <c r="J54" s="1">
        <f>SUM(J43:J53)</f>
        <v>4661854.7903170837</v>
      </c>
      <c r="M54" s="2" t="s">
        <v>48</v>
      </c>
      <c r="N54" s="10" t="s">
        <v>50</v>
      </c>
      <c r="O54" s="1"/>
      <c r="P54" s="1">
        <f>SUM(P43:P53)</f>
        <v>4671436.9732637499</v>
      </c>
      <c r="S54" s="2" t="s">
        <v>48</v>
      </c>
      <c r="T54" s="10" t="s">
        <v>50</v>
      </c>
      <c r="U54" s="1"/>
      <c r="V54" s="1">
        <f>SUM(V43:V53)</f>
        <v>4839527.415717084</v>
      </c>
      <c r="Y54" s="2" t="s">
        <v>48</v>
      </c>
      <c r="Z54" s="10" t="s">
        <v>50</v>
      </c>
      <c r="AA54" s="1"/>
      <c r="AB54" s="1">
        <f>SUM(AB43:AB53)</f>
        <v>4860360.2957170829</v>
      </c>
    </row>
    <row r="55" spans="1:28" hidden="1" outlineLevel="1">
      <c r="A55" s="2" t="s">
        <v>49</v>
      </c>
      <c r="B55" s="10" t="s">
        <v>51</v>
      </c>
      <c r="C55" s="1">
        <v>90</v>
      </c>
      <c r="D55" s="1">
        <f>D54*1.9</f>
        <v>8582599.6272077914</v>
      </c>
      <c r="E55" s="4"/>
      <c r="G55" s="2" t="s">
        <v>49</v>
      </c>
      <c r="H55" s="10" t="s">
        <v>51</v>
      </c>
      <c r="I55" s="1">
        <v>90</v>
      </c>
      <c r="J55" s="1">
        <f>J54*1.9</f>
        <v>8857524.1016024593</v>
      </c>
      <c r="M55" s="2" t="s">
        <v>49</v>
      </c>
      <c r="N55" s="10" t="s">
        <v>51</v>
      </c>
      <c r="O55" s="1">
        <v>90</v>
      </c>
      <c r="P55" s="1">
        <f>P54*1.9</f>
        <v>8875730.2492011245</v>
      </c>
      <c r="S55" s="2" t="s">
        <v>49</v>
      </c>
      <c r="T55" s="10" t="s">
        <v>51</v>
      </c>
      <c r="U55" s="1">
        <v>90</v>
      </c>
      <c r="V55" s="1">
        <f>V54*1.9</f>
        <v>9195102.0898624584</v>
      </c>
      <c r="Y55" s="2" t="s">
        <v>49</v>
      </c>
      <c r="Z55" s="10" t="s">
        <v>51</v>
      </c>
      <c r="AA55" s="1">
        <v>90</v>
      </c>
      <c r="AB55" s="1">
        <f>AB54*1.9</f>
        <v>9234684.5618624575</v>
      </c>
    </row>
    <row r="56" spans="1:28" hidden="1" outlineLevel="1">
      <c r="A56" s="2" t="s">
        <v>52</v>
      </c>
      <c r="B56" s="10" t="s">
        <v>51</v>
      </c>
      <c r="C56" s="2">
        <v>20</v>
      </c>
      <c r="D56" s="1">
        <f>D55*0.2</f>
        <v>1716519.9254415585</v>
      </c>
      <c r="E56" s="4"/>
      <c r="G56" s="2" t="s">
        <v>52</v>
      </c>
      <c r="H56" s="10" t="s">
        <v>51</v>
      </c>
      <c r="I56" s="2">
        <v>20</v>
      </c>
      <c r="J56" s="1">
        <f>J55*0.2</f>
        <v>1771504.8203204919</v>
      </c>
      <c r="M56" s="2" t="s">
        <v>52</v>
      </c>
      <c r="N56" s="10" t="s">
        <v>51</v>
      </c>
      <c r="O56" s="2">
        <v>20</v>
      </c>
      <c r="P56" s="1">
        <f>P55*0.2</f>
        <v>1775146.0498402249</v>
      </c>
      <c r="S56" s="2" t="s">
        <v>52</v>
      </c>
      <c r="T56" s="10" t="s">
        <v>51</v>
      </c>
      <c r="U56" s="2">
        <v>20</v>
      </c>
      <c r="V56" s="1">
        <f>V55*0.2</f>
        <v>1839020.4179724918</v>
      </c>
      <c r="Y56" s="2" t="s">
        <v>52</v>
      </c>
      <c r="Z56" s="10" t="s">
        <v>51</v>
      </c>
      <c r="AA56" s="2">
        <v>20</v>
      </c>
      <c r="AB56" s="1">
        <f>AB55*0.2</f>
        <v>1846936.9123724916</v>
      </c>
    </row>
    <row r="57" spans="1:28" collapsed="1">
      <c r="A57" s="2" t="s">
        <v>53</v>
      </c>
      <c r="B57" s="10"/>
      <c r="C57" s="1"/>
      <c r="D57" s="18">
        <f>D56+D55</f>
        <v>10299119.552649349</v>
      </c>
      <c r="E57" s="4"/>
      <c r="G57" s="2" t="s">
        <v>53</v>
      </c>
      <c r="H57" s="10"/>
      <c r="J57" s="18">
        <f>J55+J56</f>
        <v>10629028.921922952</v>
      </c>
      <c r="M57" s="2" t="s">
        <v>53</v>
      </c>
      <c r="N57" s="10"/>
      <c r="O57" s="1"/>
      <c r="P57" s="18">
        <f>P56+P55</f>
        <v>10650876.299041349</v>
      </c>
      <c r="S57" s="2" t="s">
        <v>53</v>
      </c>
      <c r="T57" s="10"/>
      <c r="U57" s="1"/>
      <c r="V57" s="18">
        <f>V56+V55</f>
        <v>11034122.50783495</v>
      </c>
      <c r="Y57" s="2" t="s">
        <v>53</v>
      </c>
      <c r="Z57" s="10"/>
      <c r="AA57" s="1"/>
      <c r="AB57" s="18">
        <f>AB56+AB55</f>
        <v>11081621.47423495</v>
      </c>
    </row>
    <row r="58" spans="1:28">
      <c r="A58" s="29"/>
      <c r="B58" s="30"/>
      <c r="C58" s="4"/>
      <c r="E58" s="4"/>
      <c r="H58" s="31"/>
      <c r="J58" s="25"/>
      <c r="M58" s="28"/>
      <c r="N58" s="31"/>
    </row>
    <row r="60" spans="1:28">
      <c r="A60" s="1" t="s">
        <v>23</v>
      </c>
      <c r="G60" s="1" t="s">
        <v>40</v>
      </c>
      <c r="M60" s="1" t="s">
        <v>21</v>
      </c>
      <c r="S60" s="1" t="s">
        <v>41</v>
      </c>
      <c r="Y60" s="1" t="s">
        <v>43</v>
      </c>
    </row>
    <row r="61" spans="1:28">
      <c r="A61" s="9" t="s">
        <v>0</v>
      </c>
      <c r="B61" s="9" t="s">
        <v>1</v>
      </c>
      <c r="C61" s="9" t="s">
        <v>2</v>
      </c>
      <c r="D61" s="9" t="s">
        <v>3</v>
      </c>
      <c r="E61" s="21"/>
      <c r="F61" s="4"/>
      <c r="G61" s="9" t="s">
        <v>0</v>
      </c>
      <c r="H61" s="9" t="s">
        <v>1</v>
      </c>
      <c r="I61" s="9" t="s">
        <v>2</v>
      </c>
      <c r="J61" s="9" t="s">
        <v>3</v>
      </c>
      <c r="M61" s="9" t="s">
        <v>0</v>
      </c>
      <c r="N61" s="9" t="s">
        <v>1</v>
      </c>
      <c r="O61" s="9" t="s">
        <v>2</v>
      </c>
      <c r="P61" s="9" t="s">
        <v>3</v>
      </c>
      <c r="S61" s="9" t="s">
        <v>0</v>
      </c>
      <c r="T61" s="9" t="s">
        <v>1</v>
      </c>
      <c r="U61" s="9" t="s">
        <v>2</v>
      </c>
      <c r="V61" s="9" t="s">
        <v>3</v>
      </c>
      <c r="Y61" s="9" t="s">
        <v>0</v>
      </c>
      <c r="Z61" s="9" t="s">
        <v>1</v>
      </c>
      <c r="AA61" s="9" t="s">
        <v>2</v>
      </c>
      <c r="AB61" s="9" t="s">
        <v>3</v>
      </c>
    </row>
    <row r="62" spans="1:28" hidden="1" outlineLevel="1">
      <c r="A62" s="1" t="s">
        <v>4</v>
      </c>
      <c r="B62" s="8" t="s">
        <v>8</v>
      </c>
      <c r="C62" s="1">
        <v>10</v>
      </c>
      <c r="D62" s="1">
        <f>9354780/1.2/1000*2.96*C62</f>
        <v>230751.24</v>
      </c>
      <c r="E62" s="4"/>
      <c r="F62" s="4"/>
      <c r="G62" s="1" t="s">
        <v>4</v>
      </c>
      <c r="H62" s="8" t="s">
        <v>8</v>
      </c>
      <c r="I62" s="1">
        <v>11</v>
      </c>
      <c r="J62" s="1">
        <f>9354780/1.2/1000*2.96*I62</f>
        <v>253826.364</v>
      </c>
      <c r="M62" s="1" t="s">
        <v>4</v>
      </c>
      <c r="N62" s="1" t="s">
        <v>8</v>
      </c>
      <c r="O62" s="1">
        <v>12</v>
      </c>
      <c r="P62" s="1">
        <f>9354780/1.2/1000*2.96*O62</f>
        <v>276901.48800000001</v>
      </c>
      <c r="S62" s="1" t="s">
        <v>4</v>
      </c>
      <c r="T62" s="1" t="s">
        <v>8</v>
      </c>
      <c r="U62" s="1">
        <v>12</v>
      </c>
      <c r="V62" s="1">
        <f>9354780/1.2/1000*2.96*U62</f>
        <v>276901.48800000001</v>
      </c>
      <c r="Y62" s="1" t="s">
        <v>4</v>
      </c>
      <c r="Z62" s="1" t="s">
        <v>8</v>
      </c>
      <c r="AA62" s="1">
        <v>14</v>
      </c>
      <c r="AB62" s="1">
        <f>9354780/1.2/1000*2.96*AA62</f>
        <v>323051.73599999998</v>
      </c>
    </row>
    <row r="63" spans="1:28" hidden="1" outlineLevel="1">
      <c r="A63" s="1" t="s">
        <v>5</v>
      </c>
      <c r="B63" s="8" t="s">
        <v>8</v>
      </c>
      <c r="C63" s="1">
        <v>7</v>
      </c>
      <c r="D63" s="1">
        <f>10874266/1.2/1000*1.48*C63</f>
        <v>93881.16313333335</v>
      </c>
      <c r="E63" s="4"/>
      <c r="F63" s="4"/>
      <c r="G63" s="1" t="s">
        <v>5</v>
      </c>
      <c r="H63" s="8" t="s">
        <v>8</v>
      </c>
      <c r="I63" s="1">
        <v>8.6</v>
      </c>
      <c r="J63" s="1">
        <f>10874266/1.2/1000*1.48*I63</f>
        <v>115339.71470666668</v>
      </c>
      <c r="M63" s="1" t="s">
        <v>5</v>
      </c>
      <c r="N63" s="1" t="s">
        <v>8</v>
      </c>
      <c r="O63" s="1">
        <v>8</v>
      </c>
      <c r="P63" s="1">
        <f>10874266/1.2/1000*1.48*O63</f>
        <v>107292.75786666668</v>
      </c>
      <c r="S63" s="1" t="s">
        <v>5</v>
      </c>
      <c r="T63" s="1" t="s">
        <v>8</v>
      </c>
      <c r="U63" s="1">
        <v>9</v>
      </c>
      <c r="V63" s="1">
        <f>10874266/1.2/1000*1.48*U63</f>
        <v>120704.35260000001</v>
      </c>
      <c r="Y63" s="1" t="s">
        <v>5</v>
      </c>
      <c r="Z63" s="1" t="s">
        <v>8</v>
      </c>
      <c r="AA63" s="1">
        <v>9</v>
      </c>
      <c r="AB63" s="1">
        <f>10874266/1.2/1000*1.48*AA63</f>
        <v>120704.35260000001</v>
      </c>
    </row>
    <row r="64" spans="1:28" hidden="1" outlineLevel="1">
      <c r="A64" s="1" t="s">
        <v>6</v>
      </c>
      <c r="B64" s="8" t="s">
        <v>8</v>
      </c>
      <c r="C64" s="1">
        <v>6.6</v>
      </c>
      <c r="D64" s="1">
        <f>9351600/1.2/1000*1.08*C64</f>
        <v>55548.504000000001</v>
      </c>
      <c r="E64" s="4"/>
      <c r="F64" s="4"/>
      <c r="G64" s="1" t="s">
        <v>6</v>
      </c>
      <c r="H64" s="8" t="s">
        <v>8</v>
      </c>
      <c r="I64" s="1">
        <v>8</v>
      </c>
      <c r="J64" s="1">
        <f>9351600/1.2/1000*1.08*I64</f>
        <v>67331.520000000004</v>
      </c>
      <c r="M64" s="1" t="s">
        <v>6</v>
      </c>
      <c r="N64" s="1" t="s">
        <v>8</v>
      </c>
      <c r="O64" s="1">
        <v>8.6</v>
      </c>
      <c r="P64" s="1">
        <f>9351600/1.2/1000*1.08*O64</f>
        <v>72381.384000000005</v>
      </c>
      <c r="S64" s="1" t="s">
        <v>6</v>
      </c>
      <c r="T64" s="1" t="s">
        <v>8</v>
      </c>
      <c r="U64" s="1">
        <v>12</v>
      </c>
      <c r="V64" s="1">
        <f>9351600/1.2/1000*1.08*U64</f>
        <v>100997.28</v>
      </c>
      <c r="Y64" s="1" t="s">
        <v>6</v>
      </c>
      <c r="Z64" s="1" t="s">
        <v>8</v>
      </c>
      <c r="AA64" s="1">
        <v>12</v>
      </c>
      <c r="AB64" s="1">
        <f>9351600/1.2/1000*1.08*AA64</f>
        <v>100997.28</v>
      </c>
    </row>
    <row r="65" spans="1:28" hidden="1" outlineLevel="1">
      <c r="A65" s="1" t="s">
        <v>7</v>
      </c>
      <c r="B65" s="8" t="s">
        <v>8</v>
      </c>
      <c r="C65" s="1">
        <v>2.2999999999999998</v>
      </c>
      <c r="D65" s="1">
        <f>9819177/1.2/1000*7.13*C65</f>
        <v>134187.23635249998</v>
      </c>
      <c r="E65" s="4"/>
      <c r="F65" s="4"/>
      <c r="G65" s="1" t="s">
        <v>7</v>
      </c>
      <c r="H65" s="8" t="s">
        <v>8</v>
      </c>
      <c r="I65" s="1">
        <v>2.2999999999999998</v>
      </c>
      <c r="J65" s="1">
        <f>9819177/1.2/1000*7.13*I65</f>
        <v>134187.23635249998</v>
      </c>
      <c r="M65" s="1" t="s">
        <v>7</v>
      </c>
      <c r="N65" s="1" t="s">
        <v>8</v>
      </c>
      <c r="O65" s="1">
        <v>2.2999999999999998</v>
      </c>
      <c r="P65" s="1">
        <f>9819177/1.2/1000*7.13*O65</f>
        <v>134187.23635249998</v>
      </c>
      <c r="S65" s="1" t="s">
        <v>7</v>
      </c>
      <c r="T65" s="1" t="s">
        <v>8</v>
      </c>
      <c r="U65" s="1">
        <v>2.2999999999999998</v>
      </c>
      <c r="V65" s="1">
        <f>9819177/1.2/1000*7.13*U65</f>
        <v>134187.23635249998</v>
      </c>
      <c r="Y65" s="1" t="s">
        <v>7</v>
      </c>
      <c r="Z65" s="1" t="s">
        <v>8</v>
      </c>
      <c r="AA65" s="1">
        <v>2.2999999999999998</v>
      </c>
      <c r="AB65" s="1">
        <f>9819177/1.2/1000*7.13*AA65</f>
        <v>134187.23635249998</v>
      </c>
    </row>
    <row r="66" spans="1:28" hidden="1" outlineLevel="1">
      <c r="A66" s="2" t="s">
        <v>9</v>
      </c>
      <c r="B66" s="10" t="s">
        <v>10</v>
      </c>
      <c r="C66" s="1">
        <v>1</v>
      </c>
      <c r="D66" s="1">
        <f>2076000/1.2</f>
        <v>1730000</v>
      </c>
      <c r="E66" s="4"/>
      <c r="F66" s="4"/>
      <c r="G66" s="2" t="s">
        <v>9</v>
      </c>
      <c r="H66" s="10" t="s">
        <v>10</v>
      </c>
      <c r="I66" s="1">
        <v>1</v>
      </c>
      <c r="J66" s="1">
        <f>2076000/1.2</f>
        <v>1730000</v>
      </c>
      <c r="M66" s="2" t="s">
        <v>9</v>
      </c>
      <c r="N66" s="2" t="s">
        <v>10</v>
      </c>
      <c r="O66" s="1">
        <v>1</v>
      </c>
      <c r="P66" s="1">
        <f>2076000/1.2</f>
        <v>1730000</v>
      </c>
      <c r="S66" s="2" t="s">
        <v>9</v>
      </c>
      <c r="T66" s="2" t="s">
        <v>10</v>
      </c>
      <c r="U66" s="1">
        <v>1</v>
      </c>
      <c r="V66" s="1">
        <f>2076000/1.2</f>
        <v>1730000</v>
      </c>
      <c r="Y66" s="2" t="s">
        <v>9</v>
      </c>
      <c r="Z66" s="2" t="s">
        <v>10</v>
      </c>
      <c r="AA66" s="1">
        <v>1</v>
      </c>
      <c r="AB66" s="1">
        <f>2076000/1.2</f>
        <v>1730000</v>
      </c>
    </row>
    <row r="67" spans="1:28" hidden="1" outlineLevel="1">
      <c r="A67" s="2" t="s">
        <v>11</v>
      </c>
      <c r="B67" s="11"/>
      <c r="C67" s="5"/>
      <c r="D67" s="7">
        <v>120000</v>
      </c>
      <c r="E67" s="22"/>
      <c r="G67" s="2" t="s">
        <v>11</v>
      </c>
      <c r="H67" s="11"/>
      <c r="I67" s="5"/>
      <c r="J67" s="7">
        <v>120000</v>
      </c>
      <c r="M67" s="2" t="s">
        <v>11</v>
      </c>
      <c r="N67" s="3"/>
      <c r="O67" s="5"/>
      <c r="P67" s="7">
        <v>120000</v>
      </c>
      <c r="S67" s="2" t="s">
        <v>11</v>
      </c>
      <c r="T67" s="3"/>
      <c r="U67" s="5"/>
      <c r="V67" s="7">
        <v>120000</v>
      </c>
      <c r="Y67" s="2" t="s">
        <v>11</v>
      </c>
      <c r="Z67" s="3"/>
      <c r="AA67" s="5"/>
      <c r="AB67" s="7">
        <v>120000</v>
      </c>
    </row>
    <row r="68" spans="1:28" hidden="1" outlineLevel="1">
      <c r="A68" s="2" t="s">
        <v>12</v>
      </c>
      <c r="B68" s="11"/>
      <c r="C68" s="5"/>
      <c r="D68" s="7">
        <v>670000</v>
      </c>
      <c r="E68" s="22"/>
      <c r="G68" s="2" t="s">
        <v>12</v>
      </c>
      <c r="H68" s="11"/>
      <c r="I68" s="5"/>
      <c r="J68" s="7">
        <v>670000</v>
      </c>
      <c r="M68" s="2" t="s">
        <v>12</v>
      </c>
      <c r="N68" s="3"/>
      <c r="O68" s="5"/>
      <c r="P68" s="7">
        <v>670000</v>
      </c>
      <c r="S68" s="2" t="s">
        <v>12</v>
      </c>
      <c r="T68" s="3"/>
      <c r="U68" s="5"/>
      <c r="V68" s="7">
        <v>670000</v>
      </c>
      <c r="Y68" s="2" t="s">
        <v>12</v>
      </c>
      <c r="Z68" s="3"/>
      <c r="AA68" s="5"/>
      <c r="AB68" s="7">
        <v>670000</v>
      </c>
    </row>
    <row r="69" spans="1:28" hidden="1" outlineLevel="1">
      <c r="A69" s="2" t="s">
        <v>13</v>
      </c>
      <c r="B69" s="8" t="s">
        <v>14</v>
      </c>
      <c r="C69" s="5">
        <f>(0.2*C62)+(0.13*C63)+(0.08*C64)+(0.32*C65)+0.28</f>
        <v>4.4540000000000006</v>
      </c>
      <c r="D69" s="1">
        <f>C69*25000</f>
        <v>111350.00000000001</v>
      </c>
      <c r="E69" s="4"/>
      <c r="G69" s="2" t="s">
        <v>13</v>
      </c>
      <c r="H69" s="8" t="s">
        <v>14</v>
      </c>
      <c r="I69" s="5">
        <f>(0.2*I62)+(0.13*I63)+(0.08*I64)+(0.32*I65)+0.28</f>
        <v>4.9740000000000002</v>
      </c>
      <c r="J69" s="1">
        <f>I69*25000</f>
        <v>124350</v>
      </c>
      <c r="M69" s="2" t="s">
        <v>13</v>
      </c>
      <c r="N69" s="1" t="s">
        <v>14</v>
      </c>
      <c r="O69" s="5">
        <f>(0.2*O62)+(0.13*O63)+(0.08*O64)+(0.32*O65)+0.28</f>
        <v>5.1440000000000001</v>
      </c>
      <c r="P69" s="1">
        <f>O69*25000</f>
        <v>128600</v>
      </c>
      <c r="S69" s="2" t="s">
        <v>13</v>
      </c>
      <c r="T69" s="1" t="s">
        <v>14</v>
      </c>
      <c r="U69" s="5">
        <f>(0.2*U62)+(0.13*U63)+(0.08*U64)+(0.32*U65)+0.28</f>
        <v>5.5460000000000003</v>
      </c>
      <c r="V69" s="1">
        <f>U69*25000</f>
        <v>138650</v>
      </c>
      <c r="Y69" s="2" t="s">
        <v>13</v>
      </c>
      <c r="Z69" s="1" t="s">
        <v>14</v>
      </c>
      <c r="AA69" s="5">
        <f>(0.2*AA62)+(0.13*AA63)+(0.08*AA64)+(0.32*AA65)+0.28</f>
        <v>5.9459999999999997</v>
      </c>
      <c r="AB69" s="1">
        <f>AA69*25000</f>
        <v>148650</v>
      </c>
    </row>
    <row r="70" spans="1:28" hidden="1" outlineLevel="1">
      <c r="A70" s="2" t="s">
        <v>15</v>
      </c>
      <c r="B70" s="10" t="s">
        <v>14</v>
      </c>
      <c r="C70" s="1">
        <v>6.9</v>
      </c>
      <c r="D70" s="6">
        <f>69240*0.88/1.2*C70</f>
        <v>350354.4</v>
      </c>
      <c r="E70" s="4"/>
      <c r="G70" s="2" t="s">
        <v>15</v>
      </c>
      <c r="H70" s="10" t="s">
        <v>14</v>
      </c>
      <c r="I70" s="1">
        <v>9.1999999999999993</v>
      </c>
      <c r="J70" s="6">
        <f>69240*0.88/1.2*I70</f>
        <v>467139.19999999995</v>
      </c>
      <c r="M70" s="2" t="s">
        <v>15</v>
      </c>
      <c r="N70" s="2" t="s">
        <v>14</v>
      </c>
      <c r="O70" s="1">
        <v>9.1999999999999993</v>
      </c>
      <c r="P70" s="6">
        <f>69240/1.2*O70</f>
        <v>530840</v>
      </c>
      <c r="S70" s="2" t="s">
        <v>15</v>
      </c>
      <c r="T70" s="2" t="s">
        <v>14</v>
      </c>
      <c r="U70" s="1">
        <v>11.5</v>
      </c>
      <c r="V70" s="6">
        <f>69240*0.88/1.2*U70</f>
        <v>583924</v>
      </c>
      <c r="Y70" s="2" t="s">
        <v>15</v>
      </c>
      <c r="Z70" s="2" t="s">
        <v>14</v>
      </c>
      <c r="AA70" s="1">
        <v>11.5</v>
      </c>
      <c r="AB70" s="6">
        <f>69240*0.88/1.2*AA70</f>
        <v>583924</v>
      </c>
    </row>
    <row r="71" spans="1:28" hidden="1" outlineLevel="1">
      <c r="A71" s="2" t="s">
        <v>16</v>
      </c>
      <c r="B71" s="10" t="s">
        <v>10</v>
      </c>
      <c r="C71" s="1">
        <v>1</v>
      </c>
      <c r="D71" s="1">
        <v>180000</v>
      </c>
      <c r="E71" s="4"/>
      <c r="G71" s="2" t="s">
        <v>16</v>
      </c>
      <c r="H71" s="10" t="s">
        <v>10</v>
      </c>
      <c r="I71" s="1">
        <v>1</v>
      </c>
      <c r="J71" s="1">
        <v>180000</v>
      </c>
      <c r="M71" s="2" t="s">
        <v>16</v>
      </c>
      <c r="N71" s="2" t="s">
        <v>10</v>
      </c>
      <c r="O71" s="1">
        <v>1</v>
      </c>
      <c r="P71" s="1">
        <v>180000</v>
      </c>
      <c r="S71" s="2" t="s">
        <v>16</v>
      </c>
      <c r="T71" s="2" t="s">
        <v>10</v>
      </c>
      <c r="U71" s="1">
        <v>1</v>
      </c>
      <c r="V71" s="1">
        <v>180000</v>
      </c>
      <c r="Y71" s="2" t="s">
        <v>16</v>
      </c>
      <c r="Z71" s="2" t="s">
        <v>10</v>
      </c>
      <c r="AA71" s="1">
        <v>1</v>
      </c>
      <c r="AB71" s="1">
        <v>180000</v>
      </c>
    </row>
    <row r="72" spans="1:28" hidden="1" outlineLevel="1">
      <c r="A72" s="2" t="s">
        <v>17</v>
      </c>
      <c r="B72" s="10" t="s">
        <v>10</v>
      </c>
      <c r="C72" s="1"/>
      <c r="D72" s="7">
        <v>871000</v>
      </c>
      <c r="E72" s="22"/>
      <c r="F72" t="s">
        <v>42</v>
      </c>
      <c r="G72" s="2" t="s">
        <v>17</v>
      </c>
      <c r="H72" s="10" t="s">
        <v>10</v>
      </c>
      <c r="I72" s="1"/>
      <c r="J72" s="7">
        <v>871000</v>
      </c>
      <c r="M72" s="2" t="s">
        <v>17</v>
      </c>
      <c r="N72" s="2" t="s">
        <v>10</v>
      </c>
      <c r="O72" s="1"/>
      <c r="P72" s="7">
        <v>871000</v>
      </c>
      <c r="S72" s="2" t="s">
        <v>17</v>
      </c>
      <c r="T72" s="2" t="s">
        <v>10</v>
      </c>
      <c r="U72" s="1"/>
      <c r="V72" s="7">
        <v>871000</v>
      </c>
      <c r="Y72" s="2" t="s">
        <v>17</v>
      </c>
      <c r="Z72" s="2" t="s">
        <v>10</v>
      </c>
      <c r="AA72" s="1"/>
      <c r="AB72" s="7">
        <v>871000</v>
      </c>
    </row>
    <row r="73" spans="1:28" hidden="1" outlineLevel="1">
      <c r="A73" s="2" t="s">
        <v>48</v>
      </c>
      <c r="B73" s="10" t="s">
        <v>50</v>
      </c>
      <c r="C73" s="1"/>
      <c r="D73" s="1">
        <f>SUM(D62:D72)</f>
        <v>4547072.5434858333</v>
      </c>
      <c r="E73" s="4"/>
      <c r="G73" s="2" t="s">
        <v>48</v>
      </c>
      <c r="H73" s="10" t="s">
        <v>50</v>
      </c>
      <c r="I73" s="1"/>
      <c r="J73" s="1">
        <f>SUM(J62:J72)</f>
        <v>4733174.0350591671</v>
      </c>
      <c r="M73" s="2" t="s">
        <v>48</v>
      </c>
      <c r="N73" s="10" t="s">
        <v>50</v>
      </c>
      <c r="O73" s="1"/>
      <c r="P73" s="1">
        <f>SUM(P62:P72)</f>
        <v>4821202.8662191667</v>
      </c>
      <c r="S73" s="2" t="s">
        <v>48</v>
      </c>
      <c r="T73" s="10" t="s">
        <v>50</v>
      </c>
      <c r="U73" s="1"/>
      <c r="V73" s="1">
        <f>SUM(V62:V72)</f>
        <v>4926364.3569524996</v>
      </c>
      <c r="Y73" s="2" t="s">
        <v>48</v>
      </c>
      <c r="Z73" s="10" t="s">
        <v>50</v>
      </c>
      <c r="AA73" s="1"/>
      <c r="AB73" s="1">
        <f>SUM(AB62:AB72)</f>
        <v>4982514.6049525002</v>
      </c>
    </row>
    <row r="74" spans="1:28" hidden="1" outlineLevel="1">
      <c r="A74" s="2" t="s">
        <v>49</v>
      </c>
      <c r="B74" s="10" t="s">
        <v>51</v>
      </c>
      <c r="C74" s="1">
        <v>90</v>
      </c>
      <c r="D74" s="1">
        <f>D73*1.9</f>
        <v>8639437.8326230831</v>
      </c>
      <c r="E74" s="4"/>
      <c r="G74" s="2" t="s">
        <v>49</v>
      </c>
      <c r="H74" s="10" t="s">
        <v>51</v>
      </c>
      <c r="I74" s="1">
        <v>90</v>
      </c>
      <c r="J74" s="1">
        <f>J73*1.9</f>
        <v>8993030.6666124165</v>
      </c>
      <c r="M74" s="2" t="s">
        <v>49</v>
      </c>
      <c r="N74" s="10" t="s">
        <v>51</v>
      </c>
      <c r="O74" s="1">
        <v>90</v>
      </c>
      <c r="P74" s="1">
        <f>P73*1.9</f>
        <v>9160285.4458164163</v>
      </c>
      <c r="S74" s="2" t="s">
        <v>49</v>
      </c>
      <c r="T74" s="10" t="s">
        <v>51</v>
      </c>
      <c r="U74" s="1">
        <v>90</v>
      </c>
      <c r="V74" s="1">
        <f>V73*1.9</f>
        <v>9360092.2782097496</v>
      </c>
      <c r="Y74" s="2" t="s">
        <v>49</v>
      </c>
      <c r="Z74" s="10" t="s">
        <v>51</v>
      </c>
      <c r="AA74" s="1">
        <v>90</v>
      </c>
      <c r="AB74" s="1">
        <f>AB73*1.9</f>
        <v>9466777.7494097501</v>
      </c>
    </row>
    <row r="75" spans="1:28" hidden="1" outlineLevel="1">
      <c r="A75" s="2" t="s">
        <v>52</v>
      </c>
      <c r="B75" s="10" t="s">
        <v>51</v>
      </c>
      <c r="C75" s="2">
        <v>20</v>
      </c>
      <c r="D75" s="1">
        <f>D74*0.2</f>
        <v>1727887.5665246167</v>
      </c>
      <c r="E75" s="4"/>
      <c r="G75" s="2" t="s">
        <v>52</v>
      </c>
      <c r="H75" s="10" t="s">
        <v>51</v>
      </c>
      <c r="I75" s="2">
        <v>20</v>
      </c>
      <c r="J75" s="1">
        <f>J74*0.2</f>
        <v>1798606.1333224834</v>
      </c>
      <c r="M75" s="2" t="s">
        <v>52</v>
      </c>
      <c r="N75" s="10" t="s">
        <v>51</v>
      </c>
      <c r="O75" s="2">
        <v>20</v>
      </c>
      <c r="P75" s="1">
        <f>P74*0.2</f>
        <v>1832057.0891632834</v>
      </c>
      <c r="S75" s="2" t="s">
        <v>52</v>
      </c>
      <c r="T75" s="10" t="s">
        <v>51</v>
      </c>
      <c r="U75" s="2">
        <v>20</v>
      </c>
      <c r="V75" s="1">
        <f>V74*0.2</f>
        <v>1872018.45564195</v>
      </c>
      <c r="Y75" s="2" t="s">
        <v>52</v>
      </c>
      <c r="Z75" s="10" t="s">
        <v>51</v>
      </c>
      <c r="AA75" s="2">
        <v>20</v>
      </c>
      <c r="AB75" s="1">
        <f>AB74*0.2</f>
        <v>1893355.54988195</v>
      </c>
    </row>
    <row r="76" spans="1:28" collapsed="1">
      <c r="A76" s="2" t="s">
        <v>53</v>
      </c>
      <c r="B76" s="10"/>
      <c r="C76" s="1"/>
      <c r="D76" s="26">
        <f>D74+D75</f>
        <v>10367325.399147701</v>
      </c>
      <c r="E76" s="4"/>
      <c r="G76" s="2" t="s">
        <v>53</v>
      </c>
      <c r="H76" s="10"/>
      <c r="I76" s="1"/>
      <c r="J76" s="18">
        <f>J74+J75</f>
        <v>10791636.799934899</v>
      </c>
      <c r="M76" s="2" t="s">
        <v>53</v>
      </c>
      <c r="N76" s="10"/>
      <c r="O76" s="1"/>
      <c r="P76" s="18">
        <f>P74+P75</f>
        <v>10992342.534979699</v>
      </c>
      <c r="S76" s="2" t="s">
        <v>53</v>
      </c>
      <c r="T76" s="10"/>
      <c r="U76" s="1"/>
      <c r="V76" s="18">
        <f>V74+V75</f>
        <v>11232110.733851699</v>
      </c>
      <c r="Y76" s="2" t="s">
        <v>53</v>
      </c>
      <c r="Z76" s="10"/>
      <c r="AA76" s="1"/>
      <c r="AB76" s="18">
        <f>AB74+AB75</f>
        <v>11360133.2992917</v>
      </c>
    </row>
    <row r="77" spans="1:28">
      <c r="D77" s="4"/>
      <c r="E77" s="4"/>
      <c r="J77" s="4"/>
      <c r="P77" s="4"/>
      <c r="V77" s="4"/>
    </row>
    <row r="78" spans="1:28">
      <c r="D78" s="4"/>
      <c r="E78" s="4"/>
      <c r="J78" s="4"/>
      <c r="P78" s="4"/>
      <c r="V78" s="4"/>
    </row>
    <row r="79" spans="1:28" ht="26.25">
      <c r="A79" s="27" t="s">
        <v>57</v>
      </c>
      <c r="J79" s="4"/>
      <c r="P79" s="4"/>
      <c r="V79" s="4"/>
    </row>
    <row r="80" spans="1:28">
      <c r="D80" s="4"/>
      <c r="E80" s="4"/>
      <c r="J80" s="4"/>
      <c r="P80" s="4"/>
      <c r="V80" s="4"/>
    </row>
    <row r="82" spans="1:28">
      <c r="A82" s="1" t="s">
        <v>44</v>
      </c>
      <c r="E82" s="4"/>
      <c r="G82" s="1" t="s">
        <v>45</v>
      </c>
      <c r="M82" s="1" t="s">
        <v>46</v>
      </c>
      <c r="S82" s="1" t="s">
        <v>47</v>
      </c>
      <c r="Y82" s="1" t="s">
        <v>59</v>
      </c>
    </row>
    <row r="83" spans="1:28">
      <c r="A83" s="9" t="s">
        <v>0</v>
      </c>
      <c r="B83" s="9" t="s">
        <v>1</v>
      </c>
      <c r="C83" s="9" t="s">
        <v>2</v>
      </c>
      <c r="D83" s="9" t="s">
        <v>3</v>
      </c>
      <c r="E83" s="4"/>
      <c r="F83" s="4"/>
      <c r="G83" s="9" t="s">
        <v>0</v>
      </c>
      <c r="H83" s="9" t="s">
        <v>1</v>
      </c>
      <c r="I83" s="9" t="s">
        <v>2</v>
      </c>
      <c r="J83" s="9" t="s">
        <v>3</v>
      </c>
      <c r="M83" s="9" t="s">
        <v>0</v>
      </c>
      <c r="N83" s="9" t="s">
        <v>1</v>
      </c>
      <c r="O83" s="9" t="s">
        <v>2</v>
      </c>
      <c r="P83" s="9" t="s">
        <v>3</v>
      </c>
      <c r="S83" s="9" t="s">
        <v>0</v>
      </c>
      <c r="T83" s="9" t="s">
        <v>1</v>
      </c>
      <c r="U83" s="9" t="s">
        <v>2</v>
      </c>
      <c r="V83" s="9" t="s">
        <v>3</v>
      </c>
      <c r="Y83" s="9" t="s">
        <v>0</v>
      </c>
      <c r="Z83" s="9" t="s">
        <v>1</v>
      </c>
      <c r="AA83" s="9" t="s">
        <v>2</v>
      </c>
      <c r="AB83" s="9" t="s">
        <v>3</v>
      </c>
    </row>
    <row r="84" spans="1:28" hidden="1" outlineLevel="1">
      <c r="A84" s="1" t="s">
        <v>4</v>
      </c>
      <c r="B84" s="8" t="s">
        <v>8</v>
      </c>
      <c r="C84" s="1">
        <v>10</v>
      </c>
      <c r="D84" s="1">
        <f>9354780/1.2/1000*2.96*C84</f>
        <v>230751.24</v>
      </c>
      <c r="E84" s="4"/>
      <c r="F84" s="4"/>
      <c r="G84" s="1" t="s">
        <v>4</v>
      </c>
      <c r="H84" s="8" t="s">
        <v>8</v>
      </c>
      <c r="I84" s="1">
        <v>10</v>
      </c>
      <c r="J84" s="1">
        <f>9354780/1.2/1000*2.96*I84</f>
        <v>230751.24</v>
      </c>
      <c r="M84" s="1" t="s">
        <v>4</v>
      </c>
      <c r="N84" s="1" t="s">
        <v>8</v>
      </c>
      <c r="O84" s="1">
        <v>10</v>
      </c>
      <c r="P84" s="1">
        <f>9354780/1.2/1000*2.96*O84</f>
        <v>230751.24</v>
      </c>
      <c r="S84" s="1" t="s">
        <v>4</v>
      </c>
      <c r="T84" s="1" t="s">
        <v>8</v>
      </c>
      <c r="U84" s="1">
        <v>11</v>
      </c>
      <c r="V84" s="1">
        <f>9354780/1.2/1000*2.96*U84</f>
        <v>253826.364</v>
      </c>
      <c r="Y84" s="1" t="s">
        <v>4</v>
      </c>
      <c r="Z84" s="1" t="s">
        <v>8</v>
      </c>
      <c r="AA84" s="1">
        <v>11</v>
      </c>
      <c r="AB84" s="1">
        <f>9354780/1.2/1000*2.96*AA84</f>
        <v>253826.364</v>
      </c>
    </row>
    <row r="85" spans="1:28" hidden="1" outlineLevel="1">
      <c r="A85" s="1" t="s">
        <v>5</v>
      </c>
      <c r="B85" s="8" t="s">
        <v>8</v>
      </c>
      <c r="C85" s="1">
        <v>6.2</v>
      </c>
      <c r="D85" s="1">
        <f>10874266/1.2/1000*1.48*C85</f>
        <v>83151.887346666685</v>
      </c>
      <c r="E85" s="4"/>
      <c r="F85" s="4"/>
      <c r="G85" s="1" t="s">
        <v>5</v>
      </c>
      <c r="H85" s="8" t="s">
        <v>8</v>
      </c>
      <c r="I85" s="1">
        <v>7</v>
      </c>
      <c r="J85" s="1">
        <f>10874266/1.2/1000*1.48*I85</f>
        <v>93881.16313333335</v>
      </c>
      <c r="M85" s="1" t="s">
        <v>5</v>
      </c>
      <c r="N85" s="1" t="s">
        <v>8</v>
      </c>
      <c r="O85" s="1">
        <v>7.2</v>
      </c>
      <c r="P85" s="1">
        <f>10874266/1.2/1000*1.48*O85</f>
        <v>96563.482080000016</v>
      </c>
      <c r="S85" s="1" t="s">
        <v>5</v>
      </c>
      <c r="T85" s="1" t="s">
        <v>8</v>
      </c>
      <c r="U85" s="1">
        <v>8</v>
      </c>
      <c r="V85" s="1">
        <f>10874266/1.2/1000*1.48*U85</f>
        <v>107292.75786666668</v>
      </c>
      <c r="Y85" s="1" t="s">
        <v>5</v>
      </c>
      <c r="Z85" s="1" t="s">
        <v>8</v>
      </c>
      <c r="AA85" s="1">
        <v>8</v>
      </c>
      <c r="AB85" s="1">
        <f>10874266/1.2/1000*1.48*AA85</f>
        <v>107292.75786666668</v>
      </c>
    </row>
    <row r="86" spans="1:28" hidden="1" outlineLevel="1">
      <c r="A86" s="1" t="s">
        <v>6</v>
      </c>
      <c r="B86" s="8" t="s">
        <v>8</v>
      </c>
      <c r="C86" s="1">
        <v>6.6</v>
      </c>
      <c r="D86" s="1">
        <f>9351600/1.2/1000*1.08*C86</f>
        <v>55548.504000000001</v>
      </c>
      <c r="E86" s="4"/>
      <c r="F86" s="4"/>
      <c r="G86" s="1" t="s">
        <v>6</v>
      </c>
      <c r="H86" s="8" t="s">
        <v>8</v>
      </c>
      <c r="I86" s="1">
        <v>8</v>
      </c>
      <c r="J86" s="1">
        <f>9351600/1.2/1000*1.08*I86</f>
        <v>67331.520000000004</v>
      </c>
      <c r="M86" s="1" t="s">
        <v>6</v>
      </c>
      <c r="N86" s="1" t="s">
        <v>8</v>
      </c>
      <c r="O86" s="1">
        <v>8.6</v>
      </c>
      <c r="P86" s="1">
        <f>9351600/1.2/1000*1.08*O86</f>
        <v>72381.384000000005</v>
      </c>
      <c r="S86" s="1" t="s">
        <v>6</v>
      </c>
      <c r="T86" s="1" t="s">
        <v>8</v>
      </c>
      <c r="U86" s="1">
        <v>9</v>
      </c>
      <c r="V86" s="1">
        <f>9351600/1.2/1000*1.08*U86</f>
        <v>75747.960000000006</v>
      </c>
      <c r="Y86" s="1" t="s">
        <v>6</v>
      </c>
      <c r="Z86" s="1" t="s">
        <v>8</v>
      </c>
      <c r="AA86" s="1">
        <v>11</v>
      </c>
      <c r="AB86" s="1">
        <f>9351600/1.2/1000*1.08*AA86</f>
        <v>92580.840000000011</v>
      </c>
    </row>
    <row r="87" spans="1:28" hidden="1" outlineLevel="1">
      <c r="A87" s="1" t="s">
        <v>7</v>
      </c>
      <c r="B87" s="8" t="s">
        <v>8</v>
      </c>
      <c r="C87" s="1">
        <v>2.0499999999999998</v>
      </c>
      <c r="D87" s="1">
        <f>9819177/1.2/1000*7.13*C87</f>
        <v>119601.66718374999</v>
      </c>
      <c r="E87" s="4"/>
      <c r="F87" s="4"/>
      <c r="G87" s="1" t="s">
        <v>7</v>
      </c>
      <c r="H87" s="8" t="s">
        <v>8</v>
      </c>
      <c r="I87" s="1">
        <v>2.0499999999999998</v>
      </c>
      <c r="J87" s="1">
        <f>9819177/1.2/1000*7.13*I87</f>
        <v>119601.66718374999</v>
      </c>
      <c r="M87" s="1" t="s">
        <v>7</v>
      </c>
      <c r="N87" s="1" t="s">
        <v>8</v>
      </c>
      <c r="O87" s="1">
        <v>2.0499999999999998</v>
      </c>
      <c r="P87" s="1">
        <f>9819177/1.2/1000*7.13*O87</f>
        <v>119601.66718374999</v>
      </c>
      <c r="S87" s="1" t="s">
        <v>7</v>
      </c>
      <c r="T87" s="1" t="s">
        <v>8</v>
      </c>
      <c r="U87" s="1">
        <v>2.0499999999999998</v>
      </c>
      <c r="V87" s="1">
        <f>9819177/1.2/1000*7.13*U87</f>
        <v>119601.66718374999</v>
      </c>
      <c r="Y87" s="1" t="s">
        <v>7</v>
      </c>
      <c r="Z87" s="1" t="s">
        <v>8</v>
      </c>
      <c r="AA87" s="1">
        <v>2.0499999999999998</v>
      </c>
      <c r="AB87" s="1">
        <f>9819177/1.2/1000*7.13*AA87</f>
        <v>119601.66718374999</v>
      </c>
    </row>
    <row r="88" spans="1:28" hidden="1" outlineLevel="1">
      <c r="A88" s="2" t="s">
        <v>9</v>
      </c>
      <c r="B88" s="10" t="s">
        <v>10</v>
      </c>
      <c r="C88" s="1">
        <v>1</v>
      </c>
      <c r="D88" s="1">
        <f>2076000/1.2</f>
        <v>1730000</v>
      </c>
      <c r="E88" s="4"/>
      <c r="F88" s="4"/>
      <c r="G88" s="2" t="s">
        <v>9</v>
      </c>
      <c r="H88" s="10" t="s">
        <v>10</v>
      </c>
      <c r="I88" s="1">
        <v>1</v>
      </c>
      <c r="J88" s="1">
        <f>2076000/1.2</f>
        <v>1730000</v>
      </c>
      <c r="M88" s="2" t="s">
        <v>9</v>
      </c>
      <c r="N88" s="2" t="s">
        <v>10</v>
      </c>
      <c r="O88" s="1">
        <v>1</v>
      </c>
      <c r="P88" s="1">
        <f>2076000/1.2</f>
        <v>1730000</v>
      </c>
      <c r="S88" s="2" t="s">
        <v>9</v>
      </c>
      <c r="T88" s="2" t="s">
        <v>10</v>
      </c>
      <c r="U88" s="1">
        <v>1</v>
      </c>
      <c r="V88" s="1">
        <f>2076000/1.2</f>
        <v>1730000</v>
      </c>
      <c r="Y88" s="2" t="s">
        <v>9</v>
      </c>
      <c r="Z88" s="2" t="s">
        <v>10</v>
      </c>
      <c r="AA88" s="1">
        <v>1</v>
      </c>
      <c r="AB88" s="1">
        <f>2076000/1.2</f>
        <v>1730000</v>
      </c>
    </row>
    <row r="89" spans="1:28" hidden="1" outlineLevel="1">
      <c r="A89" s="2" t="s">
        <v>11</v>
      </c>
      <c r="B89" s="11"/>
      <c r="C89" s="5"/>
      <c r="D89" s="7">
        <v>120000</v>
      </c>
      <c r="E89" s="22"/>
      <c r="G89" s="2" t="s">
        <v>11</v>
      </c>
      <c r="H89" s="11"/>
      <c r="I89" s="5"/>
      <c r="J89" s="7">
        <v>120000</v>
      </c>
      <c r="M89" s="2" t="s">
        <v>11</v>
      </c>
      <c r="N89" s="3"/>
      <c r="O89" s="5"/>
      <c r="P89" s="7">
        <v>120000</v>
      </c>
      <c r="S89" s="2" t="s">
        <v>11</v>
      </c>
      <c r="T89" s="3"/>
      <c r="U89" s="5"/>
      <c r="V89" s="7">
        <v>120000</v>
      </c>
      <c r="Y89" s="2" t="s">
        <v>11</v>
      </c>
      <c r="Z89" s="3"/>
      <c r="AA89" s="5"/>
      <c r="AB89" s="7">
        <v>120000</v>
      </c>
    </row>
    <row r="90" spans="1:28" hidden="1" outlineLevel="1">
      <c r="A90" s="2" t="s">
        <v>12</v>
      </c>
      <c r="B90" s="11"/>
      <c r="C90" s="5"/>
      <c r="D90" s="7">
        <v>670000</v>
      </c>
      <c r="E90" s="22"/>
      <c r="G90" s="2" t="s">
        <v>12</v>
      </c>
      <c r="H90" s="11"/>
      <c r="I90" s="5"/>
      <c r="J90" s="7">
        <v>670000</v>
      </c>
      <c r="M90" s="2" t="s">
        <v>12</v>
      </c>
      <c r="N90" s="3"/>
      <c r="O90" s="5"/>
      <c r="P90" s="7">
        <v>670000</v>
      </c>
      <c r="S90" s="2" t="s">
        <v>12</v>
      </c>
      <c r="T90" s="3"/>
      <c r="U90" s="5"/>
      <c r="V90" s="7">
        <v>670000</v>
      </c>
      <c r="Y90" s="2" t="s">
        <v>12</v>
      </c>
      <c r="Z90" s="3"/>
      <c r="AA90" s="5"/>
      <c r="AB90" s="7">
        <v>670000</v>
      </c>
    </row>
    <row r="91" spans="1:28" hidden="1" outlineLevel="1">
      <c r="A91" s="2" t="s">
        <v>13</v>
      </c>
      <c r="B91" s="8" t="s">
        <v>14</v>
      </c>
      <c r="C91" s="5">
        <f>(0.2*C84)+(0.13*C85)+(0.08*C86)+(0.32*C87)+0.28</f>
        <v>4.2700000000000005</v>
      </c>
      <c r="D91" s="1">
        <f>C91*25000</f>
        <v>106750.00000000001</v>
      </c>
      <c r="E91" s="4"/>
      <c r="G91" s="2" t="s">
        <v>13</v>
      </c>
      <c r="H91" s="8" t="s">
        <v>14</v>
      </c>
      <c r="I91" s="5">
        <f>(0.2*I84)+(0.13*I85)+(0.08*I86)+(0.32*I87)+0.28</f>
        <v>4.4860000000000007</v>
      </c>
      <c r="J91" s="1">
        <f>I91*25000</f>
        <v>112150.00000000001</v>
      </c>
      <c r="M91" s="2" t="s">
        <v>13</v>
      </c>
      <c r="N91" s="1" t="s">
        <v>14</v>
      </c>
      <c r="O91" s="5">
        <f>(0.2*O84)+(0.13*O85)+(0.08*O86)+(0.32*O87)+0.28</f>
        <v>4.5599999999999996</v>
      </c>
      <c r="P91" s="1">
        <f>O91*25000</f>
        <v>113999.99999999999</v>
      </c>
      <c r="S91" s="2" t="s">
        <v>13</v>
      </c>
      <c r="T91" s="1" t="s">
        <v>14</v>
      </c>
      <c r="U91" s="5">
        <f>(0.2*U84)+(0.13*U85)+(0.08*U86)+(0.32*U87)+0.28</f>
        <v>4.8959999999999999</v>
      </c>
      <c r="V91" s="1">
        <f>U91*25000</f>
        <v>122400</v>
      </c>
      <c r="Y91" s="2" t="s">
        <v>13</v>
      </c>
      <c r="Z91" s="1" t="s">
        <v>14</v>
      </c>
      <c r="AA91" s="5">
        <f>(0.2*AA84)+(0.13*AA85)+(0.08*AA86)+(0.32*AA87)+0.28</f>
        <v>5.056</v>
      </c>
      <c r="AB91" s="1">
        <f>AA91*25000</f>
        <v>126400</v>
      </c>
    </row>
    <row r="92" spans="1:28" hidden="1" outlineLevel="1">
      <c r="A92" s="2" t="s">
        <v>15</v>
      </c>
      <c r="B92" s="10" t="s">
        <v>14</v>
      </c>
      <c r="C92" s="1">
        <v>13.8</v>
      </c>
      <c r="D92" s="6">
        <f>63420*0.88/1.2*C92</f>
        <v>641810.4</v>
      </c>
      <c r="E92" s="4"/>
      <c r="G92" s="2" t="s">
        <v>15</v>
      </c>
      <c r="H92" s="10" t="s">
        <v>14</v>
      </c>
      <c r="I92" s="1">
        <v>18.399999999999999</v>
      </c>
      <c r="J92" s="6">
        <f>63420*0.88/1.2*I92</f>
        <v>855747.2</v>
      </c>
      <c r="M92" s="2" t="s">
        <v>15</v>
      </c>
      <c r="N92" s="2" t="s">
        <v>14</v>
      </c>
      <c r="O92" s="1">
        <v>18.399999999999999</v>
      </c>
      <c r="P92" s="6">
        <f>63420*0.88/1.2*O92</f>
        <v>855747.2</v>
      </c>
      <c r="S92" s="2" t="s">
        <v>15</v>
      </c>
      <c r="T92" s="2" t="s">
        <v>14</v>
      </c>
      <c r="U92" s="1">
        <v>23</v>
      </c>
      <c r="V92" s="6">
        <f>63420*0.88/1.2*U92</f>
        <v>1069684</v>
      </c>
      <c r="Y92" s="2" t="s">
        <v>15</v>
      </c>
      <c r="Z92" s="2" t="s">
        <v>14</v>
      </c>
      <c r="AA92" s="1">
        <v>23</v>
      </c>
      <c r="AB92" s="6">
        <f>63420*0.88/1.2*AA92</f>
        <v>1069684</v>
      </c>
    </row>
    <row r="93" spans="1:28" hidden="1" outlineLevel="1">
      <c r="A93" s="2" t="s">
        <v>16</v>
      </c>
      <c r="B93" s="10" t="s">
        <v>10</v>
      </c>
      <c r="C93" s="1">
        <v>1</v>
      </c>
      <c r="D93" s="1">
        <v>180000</v>
      </c>
      <c r="E93" s="4"/>
      <c r="G93" s="2" t="s">
        <v>16</v>
      </c>
      <c r="H93" s="10" t="s">
        <v>10</v>
      </c>
      <c r="I93" s="1">
        <v>1</v>
      </c>
      <c r="J93" s="1">
        <v>180000</v>
      </c>
      <c r="M93" s="2" t="s">
        <v>16</v>
      </c>
      <c r="N93" s="2" t="s">
        <v>10</v>
      </c>
      <c r="O93" s="1">
        <v>1</v>
      </c>
      <c r="P93" s="1">
        <v>180000</v>
      </c>
      <c r="S93" s="2" t="s">
        <v>16</v>
      </c>
      <c r="T93" s="2" t="s">
        <v>10</v>
      </c>
      <c r="U93" s="1">
        <v>1</v>
      </c>
      <c r="V93" s="1">
        <v>180000</v>
      </c>
      <c r="Y93" s="2" t="s">
        <v>16</v>
      </c>
      <c r="Z93" s="2" t="s">
        <v>10</v>
      </c>
      <c r="AA93" s="1">
        <v>1</v>
      </c>
      <c r="AB93" s="1">
        <v>180000</v>
      </c>
    </row>
    <row r="94" spans="1:28" hidden="1" outlineLevel="1">
      <c r="A94" s="2" t="s">
        <v>17</v>
      </c>
      <c r="B94" s="10" t="s">
        <v>10</v>
      </c>
      <c r="C94" s="1"/>
      <c r="D94" s="7">
        <v>871000</v>
      </c>
      <c r="E94" s="22"/>
      <c r="F94" t="s">
        <v>42</v>
      </c>
      <c r="G94" s="2" t="s">
        <v>17</v>
      </c>
      <c r="H94" s="10" t="s">
        <v>10</v>
      </c>
      <c r="I94" s="1"/>
      <c r="J94" s="7">
        <v>871000</v>
      </c>
      <c r="M94" s="2" t="s">
        <v>17</v>
      </c>
      <c r="N94" s="2" t="s">
        <v>10</v>
      </c>
      <c r="O94" s="1"/>
      <c r="P94" s="7">
        <v>871000</v>
      </c>
      <c r="S94" s="2" t="s">
        <v>17</v>
      </c>
      <c r="T94" s="2" t="s">
        <v>10</v>
      </c>
      <c r="U94" s="1"/>
      <c r="V94" s="7">
        <v>871000</v>
      </c>
      <c r="Y94" s="2" t="s">
        <v>17</v>
      </c>
      <c r="Z94" s="2" t="s">
        <v>10</v>
      </c>
      <c r="AA94" s="1"/>
      <c r="AB94" s="7">
        <v>871000</v>
      </c>
    </row>
    <row r="95" spans="1:28" hidden="1" outlineLevel="1">
      <c r="A95" s="2" t="s">
        <v>48</v>
      </c>
      <c r="B95" s="10" t="s">
        <v>50</v>
      </c>
      <c r="C95" s="1"/>
      <c r="D95" s="1">
        <f>SUM(D84:D94)</f>
        <v>4808613.6985304169</v>
      </c>
      <c r="E95" s="4"/>
      <c r="G95" s="2" t="s">
        <v>48</v>
      </c>
      <c r="H95" s="10" t="s">
        <v>50</v>
      </c>
      <c r="I95" s="1"/>
      <c r="J95" s="1">
        <f>SUM(J84:J94)</f>
        <v>5050462.7903170837</v>
      </c>
      <c r="M95" s="2" t="s">
        <v>48</v>
      </c>
      <c r="N95" s="10" t="s">
        <v>50</v>
      </c>
      <c r="O95" s="1"/>
      <c r="P95" s="1">
        <f>SUM(P84:P94)</f>
        <v>5060044.9732637499</v>
      </c>
      <c r="S95" s="2" t="s">
        <v>48</v>
      </c>
      <c r="T95" s="10" t="s">
        <v>50</v>
      </c>
      <c r="U95" s="1"/>
      <c r="V95" s="1">
        <f>SUM(V84:V94)</f>
        <v>5319552.749050417</v>
      </c>
      <c r="Y95" s="2" t="s">
        <v>48</v>
      </c>
      <c r="Z95" s="10" t="s">
        <v>50</v>
      </c>
      <c r="AA95" s="1"/>
      <c r="AB95" s="1">
        <f>SUM(AB84:AB94)</f>
        <v>5340385.6290504169</v>
      </c>
    </row>
    <row r="96" spans="1:28" hidden="1" outlineLevel="1">
      <c r="A96" s="2" t="s">
        <v>49</v>
      </c>
      <c r="B96" s="10" t="s">
        <v>51</v>
      </c>
      <c r="C96" s="1">
        <v>90</v>
      </c>
      <c r="D96" s="1">
        <f>D95*1.9</f>
        <v>9136366.0272077918</v>
      </c>
      <c r="E96" s="4"/>
      <c r="G96" s="2" t="s">
        <v>49</v>
      </c>
      <c r="H96" s="10" t="s">
        <v>51</v>
      </c>
      <c r="I96" s="1">
        <v>90</v>
      </c>
      <c r="J96" s="1">
        <f>J95*1.9</f>
        <v>9595879.3016024586</v>
      </c>
      <c r="M96" s="2" t="s">
        <v>49</v>
      </c>
      <c r="N96" s="10" t="s">
        <v>51</v>
      </c>
      <c r="O96" s="1">
        <v>90</v>
      </c>
      <c r="P96" s="1">
        <f>P95*1.9</f>
        <v>9614085.4492011238</v>
      </c>
      <c r="S96" s="2" t="s">
        <v>49</v>
      </c>
      <c r="T96" s="10" t="s">
        <v>51</v>
      </c>
      <c r="U96" s="1">
        <v>90</v>
      </c>
      <c r="V96" s="1">
        <f>V95*1.9</f>
        <v>10107150.223195791</v>
      </c>
      <c r="Y96" s="2" t="s">
        <v>49</v>
      </c>
      <c r="Z96" s="10" t="s">
        <v>51</v>
      </c>
      <c r="AA96" s="1">
        <v>90</v>
      </c>
      <c r="AB96" s="1">
        <f>AB95*1.9</f>
        <v>10146732.695195792</v>
      </c>
    </row>
    <row r="97" spans="1:28" hidden="1" outlineLevel="1">
      <c r="A97" s="2" t="s">
        <v>52</v>
      </c>
      <c r="B97" s="10" t="s">
        <v>51</v>
      </c>
      <c r="C97" s="2">
        <v>20</v>
      </c>
      <c r="D97" s="1">
        <f>D96*0.2</f>
        <v>1827273.2054415585</v>
      </c>
      <c r="E97" s="4"/>
      <c r="G97" s="2" t="s">
        <v>52</v>
      </c>
      <c r="H97" s="10" t="s">
        <v>51</v>
      </c>
      <c r="I97" s="2">
        <v>20</v>
      </c>
      <c r="J97" s="1">
        <f>J96*0.2</f>
        <v>1919175.8603204917</v>
      </c>
      <c r="M97" s="2" t="s">
        <v>52</v>
      </c>
      <c r="N97" s="10" t="s">
        <v>51</v>
      </c>
      <c r="O97" s="2">
        <v>20</v>
      </c>
      <c r="P97" s="1">
        <f>P96*0.2</f>
        <v>1922817.0898402249</v>
      </c>
      <c r="S97" s="2" t="s">
        <v>52</v>
      </c>
      <c r="T97" s="10" t="s">
        <v>51</v>
      </c>
      <c r="U97" s="2">
        <v>20</v>
      </c>
      <c r="V97" s="1">
        <f>V96*0.2</f>
        <v>2021430.0446391583</v>
      </c>
      <c r="Y97" s="2" t="s">
        <v>52</v>
      </c>
      <c r="Z97" s="10" t="s">
        <v>51</v>
      </c>
      <c r="AA97" s="2">
        <v>20</v>
      </c>
      <c r="AB97" s="1">
        <f>AB96*0.2</f>
        <v>2029346.5390391585</v>
      </c>
    </row>
    <row r="98" spans="1:28" collapsed="1">
      <c r="A98" s="2" t="s">
        <v>53</v>
      </c>
      <c r="B98" s="10"/>
      <c r="C98" s="1"/>
      <c r="D98" s="18">
        <f>D97+D96</f>
        <v>10963639.232649351</v>
      </c>
      <c r="E98" s="4"/>
      <c r="G98" s="2" t="s">
        <v>53</v>
      </c>
      <c r="H98" s="10"/>
      <c r="J98" s="18">
        <f>J96+J97</f>
        <v>11515055.16192295</v>
      </c>
      <c r="M98" s="2" t="s">
        <v>53</v>
      </c>
      <c r="N98" s="10"/>
      <c r="O98" s="1"/>
      <c r="P98" s="18">
        <f>P97+P96</f>
        <v>11536902.539041348</v>
      </c>
      <c r="S98" s="2" t="s">
        <v>53</v>
      </c>
      <c r="T98" s="10"/>
      <c r="U98" s="1"/>
      <c r="V98" s="18">
        <f>V97+V96</f>
        <v>12128580.26783495</v>
      </c>
      <c r="Y98" s="2" t="s">
        <v>53</v>
      </c>
      <c r="Z98" s="10"/>
      <c r="AA98" s="1"/>
      <c r="AB98" s="18">
        <f>AB97+AB96</f>
        <v>12176079.234234951</v>
      </c>
    </row>
    <row r="99" spans="1:28">
      <c r="D99" s="4"/>
      <c r="E99" s="4"/>
      <c r="J99" s="4"/>
      <c r="P99" s="4"/>
      <c r="V99" s="4"/>
    </row>
    <row r="100" spans="1:28">
      <c r="D100" s="4"/>
      <c r="E100" s="4"/>
      <c r="J100" s="4"/>
      <c r="P100" s="4"/>
      <c r="V100" s="4"/>
    </row>
    <row r="101" spans="1:28">
      <c r="A101" s="1" t="s">
        <v>23</v>
      </c>
      <c r="E101" s="4"/>
      <c r="G101" s="1" t="s">
        <v>40</v>
      </c>
      <c r="M101" s="1" t="s">
        <v>21</v>
      </c>
      <c r="S101" s="1" t="s">
        <v>41</v>
      </c>
      <c r="Y101" s="1" t="s">
        <v>43</v>
      </c>
    </row>
    <row r="102" spans="1:28">
      <c r="A102" s="9" t="s">
        <v>0</v>
      </c>
      <c r="B102" s="9" t="s">
        <v>1</v>
      </c>
      <c r="C102" s="9" t="s">
        <v>2</v>
      </c>
      <c r="D102" s="9" t="s">
        <v>3</v>
      </c>
      <c r="E102" s="4"/>
      <c r="F102" s="4"/>
      <c r="G102" s="9" t="s">
        <v>0</v>
      </c>
      <c r="H102" s="9" t="s">
        <v>1</v>
      </c>
      <c r="I102" s="9" t="s">
        <v>2</v>
      </c>
      <c r="J102" s="9" t="s">
        <v>3</v>
      </c>
      <c r="M102" s="9" t="s">
        <v>0</v>
      </c>
      <c r="N102" s="9" t="s">
        <v>1</v>
      </c>
      <c r="O102" s="9" t="s">
        <v>2</v>
      </c>
      <c r="P102" s="9" t="s">
        <v>3</v>
      </c>
      <c r="S102" s="9" t="s">
        <v>0</v>
      </c>
      <c r="T102" s="9" t="s">
        <v>1</v>
      </c>
      <c r="U102" s="9" t="s">
        <v>2</v>
      </c>
      <c r="V102" s="9" t="s">
        <v>3</v>
      </c>
      <c r="Y102" s="9" t="s">
        <v>0</v>
      </c>
      <c r="Z102" s="9" t="s">
        <v>1</v>
      </c>
      <c r="AA102" s="9" t="s">
        <v>2</v>
      </c>
      <c r="AB102" s="9" t="s">
        <v>3</v>
      </c>
    </row>
    <row r="103" spans="1:28" hidden="1" outlineLevel="1">
      <c r="A103" s="1" t="s">
        <v>4</v>
      </c>
      <c r="B103" s="8" t="s">
        <v>8</v>
      </c>
      <c r="C103" s="1">
        <v>10</v>
      </c>
      <c r="D103" s="1">
        <f>9354780/1.2/1000*2.96*C103</f>
        <v>230751.24</v>
      </c>
      <c r="E103" s="4"/>
      <c r="F103" s="4"/>
      <c r="G103" s="1" t="s">
        <v>4</v>
      </c>
      <c r="H103" s="8" t="s">
        <v>8</v>
      </c>
      <c r="I103" s="1">
        <v>10</v>
      </c>
      <c r="J103" s="1">
        <f>9354780/1.2/1000*2.96*I103</f>
        <v>230751.24</v>
      </c>
      <c r="M103" s="1" t="s">
        <v>4</v>
      </c>
      <c r="N103" s="1" t="s">
        <v>8</v>
      </c>
      <c r="O103" s="1">
        <v>10</v>
      </c>
      <c r="P103" s="1">
        <f>9354780/1.2/1000*2.96*O103</f>
        <v>230751.24</v>
      </c>
      <c r="S103" s="1" t="s">
        <v>4</v>
      </c>
      <c r="T103" s="1" t="s">
        <v>8</v>
      </c>
      <c r="U103" s="1">
        <v>11</v>
      </c>
      <c r="V103" s="1">
        <f>9354780/1.2/1000*2.96*U103</f>
        <v>253826.364</v>
      </c>
      <c r="Y103" s="1" t="s">
        <v>4</v>
      </c>
      <c r="Z103" s="1" t="s">
        <v>8</v>
      </c>
      <c r="AA103" s="1">
        <v>11</v>
      </c>
      <c r="AB103" s="1">
        <f>9354780/1.2/1000*2.96*AA103</f>
        <v>253826.364</v>
      </c>
    </row>
    <row r="104" spans="1:28" hidden="1" outlineLevel="1">
      <c r="A104" s="1" t="s">
        <v>5</v>
      </c>
      <c r="B104" s="8" t="s">
        <v>8</v>
      </c>
      <c r="C104" s="1">
        <v>6.2</v>
      </c>
      <c r="D104" s="1">
        <f>10874266/1.2/1000*1.48*C104</f>
        <v>83151.887346666685</v>
      </c>
      <c r="E104" s="4"/>
      <c r="F104" s="4"/>
      <c r="G104" s="1" t="s">
        <v>5</v>
      </c>
      <c r="H104" s="8" t="s">
        <v>8</v>
      </c>
      <c r="I104" s="1">
        <v>7</v>
      </c>
      <c r="J104" s="1">
        <f>10874266/1.2/1000*1.48*I104</f>
        <v>93881.16313333335</v>
      </c>
      <c r="M104" s="1" t="s">
        <v>5</v>
      </c>
      <c r="N104" s="1" t="s">
        <v>8</v>
      </c>
      <c r="O104" s="1">
        <v>7.2</v>
      </c>
      <c r="P104" s="1">
        <f>10874266/1.2/1000*1.48*O104</f>
        <v>96563.482080000016</v>
      </c>
      <c r="S104" s="1" t="s">
        <v>5</v>
      </c>
      <c r="T104" s="1" t="s">
        <v>8</v>
      </c>
      <c r="U104" s="1">
        <v>8</v>
      </c>
      <c r="V104" s="1">
        <f>10874266/1.2/1000*1.48*U104</f>
        <v>107292.75786666668</v>
      </c>
      <c r="Y104" s="1" t="s">
        <v>5</v>
      </c>
      <c r="Z104" s="1" t="s">
        <v>8</v>
      </c>
      <c r="AA104" s="1">
        <v>8</v>
      </c>
      <c r="AB104" s="1">
        <f>10874266/1.2/1000*1.48*AA104</f>
        <v>107292.75786666668</v>
      </c>
    </row>
    <row r="105" spans="1:28" hidden="1" outlineLevel="1">
      <c r="A105" s="1" t="s">
        <v>6</v>
      </c>
      <c r="B105" s="8" t="s">
        <v>8</v>
      </c>
      <c r="C105" s="1">
        <v>6.6</v>
      </c>
      <c r="D105" s="1">
        <f>9351600/1.2/1000*1.08*C105</f>
        <v>55548.504000000001</v>
      </c>
      <c r="E105" s="4"/>
      <c r="F105" s="4"/>
      <c r="G105" s="1" t="s">
        <v>6</v>
      </c>
      <c r="H105" s="8" t="s">
        <v>8</v>
      </c>
      <c r="I105" s="1">
        <v>8</v>
      </c>
      <c r="J105" s="1">
        <f>9351600/1.2/1000*1.08*I105</f>
        <v>67331.520000000004</v>
      </c>
      <c r="M105" s="1" t="s">
        <v>6</v>
      </c>
      <c r="N105" s="1" t="s">
        <v>8</v>
      </c>
      <c r="O105" s="1">
        <v>8.6</v>
      </c>
      <c r="P105" s="1">
        <f>9351600/1.2/1000*1.08*O105</f>
        <v>72381.384000000005</v>
      </c>
      <c r="S105" s="1" t="s">
        <v>6</v>
      </c>
      <c r="T105" s="1" t="s">
        <v>8</v>
      </c>
      <c r="U105" s="1">
        <v>9</v>
      </c>
      <c r="V105" s="1">
        <f>9351600/1.2/1000*1.08*U105</f>
        <v>75747.960000000006</v>
      </c>
      <c r="Y105" s="1" t="s">
        <v>6</v>
      </c>
      <c r="Z105" s="1" t="s">
        <v>8</v>
      </c>
      <c r="AA105" s="1">
        <v>11</v>
      </c>
      <c r="AB105" s="1">
        <f>9351600/1.2/1000*1.08*AA105</f>
        <v>92580.840000000011</v>
      </c>
    </row>
    <row r="106" spans="1:28" hidden="1" outlineLevel="1">
      <c r="A106" s="1" t="s">
        <v>7</v>
      </c>
      <c r="B106" s="8" t="s">
        <v>8</v>
      </c>
      <c r="C106" s="1">
        <v>2.0499999999999998</v>
      </c>
      <c r="D106" s="1">
        <f>9819177/1.2/1000*7.13*C106</f>
        <v>119601.66718374999</v>
      </c>
      <c r="E106" s="4"/>
      <c r="F106" s="4"/>
      <c r="G106" s="1" t="s">
        <v>7</v>
      </c>
      <c r="H106" s="8" t="s">
        <v>8</v>
      </c>
      <c r="I106" s="1">
        <v>2.0499999999999998</v>
      </c>
      <c r="J106" s="1">
        <f>9819177/1.2/1000*7.13*I106</f>
        <v>119601.66718374999</v>
      </c>
      <c r="M106" s="1" t="s">
        <v>7</v>
      </c>
      <c r="N106" s="1" t="s">
        <v>8</v>
      </c>
      <c r="O106" s="1">
        <v>2.0499999999999998</v>
      </c>
      <c r="P106" s="1">
        <f>9819177/1.2/1000*7.13*O106</f>
        <v>119601.66718374999</v>
      </c>
      <c r="S106" s="1" t="s">
        <v>7</v>
      </c>
      <c r="T106" s="1" t="s">
        <v>8</v>
      </c>
      <c r="U106" s="1">
        <v>2.0499999999999998</v>
      </c>
      <c r="V106" s="1">
        <f>9819177/1.2/1000*7.13*U106</f>
        <v>119601.66718374999</v>
      </c>
      <c r="Y106" s="1" t="s">
        <v>7</v>
      </c>
      <c r="Z106" s="1" t="s">
        <v>8</v>
      </c>
      <c r="AA106" s="1">
        <v>2.0499999999999998</v>
      </c>
      <c r="AB106" s="1">
        <f>9819177/1.2/1000*7.13*AA106</f>
        <v>119601.66718374999</v>
      </c>
    </row>
    <row r="107" spans="1:28" hidden="1" outlineLevel="1">
      <c r="A107" s="2" t="s">
        <v>9</v>
      </c>
      <c r="B107" s="10" t="s">
        <v>10</v>
      </c>
      <c r="C107" s="1">
        <v>1</v>
      </c>
      <c r="D107" s="1">
        <f>2076000/1.2</f>
        <v>1730000</v>
      </c>
      <c r="E107" s="4"/>
      <c r="F107" s="4"/>
      <c r="G107" s="2" t="s">
        <v>9</v>
      </c>
      <c r="H107" s="10" t="s">
        <v>10</v>
      </c>
      <c r="I107" s="1">
        <v>1</v>
      </c>
      <c r="J107" s="1">
        <f>2076000/1.2</f>
        <v>1730000</v>
      </c>
      <c r="M107" s="2" t="s">
        <v>9</v>
      </c>
      <c r="N107" s="2" t="s">
        <v>10</v>
      </c>
      <c r="O107" s="1">
        <v>1</v>
      </c>
      <c r="P107" s="1">
        <f>2076000/1.2</f>
        <v>1730000</v>
      </c>
      <c r="S107" s="2" t="s">
        <v>9</v>
      </c>
      <c r="T107" s="2" t="s">
        <v>10</v>
      </c>
      <c r="U107" s="1">
        <v>1</v>
      </c>
      <c r="V107" s="1">
        <f>2076000/1.2</f>
        <v>1730000</v>
      </c>
      <c r="Y107" s="2" t="s">
        <v>9</v>
      </c>
      <c r="Z107" s="2" t="s">
        <v>10</v>
      </c>
      <c r="AA107" s="1">
        <v>1</v>
      </c>
      <c r="AB107" s="1">
        <f>2076000/1.2</f>
        <v>1730000</v>
      </c>
    </row>
    <row r="108" spans="1:28" hidden="1" outlineLevel="1">
      <c r="A108" s="2" t="s">
        <v>11</v>
      </c>
      <c r="B108" s="11"/>
      <c r="C108" s="5"/>
      <c r="D108" s="7">
        <v>120000</v>
      </c>
      <c r="E108" s="22"/>
      <c r="G108" s="2" t="s">
        <v>11</v>
      </c>
      <c r="H108" s="11"/>
      <c r="I108" s="5"/>
      <c r="J108" s="7">
        <v>120000</v>
      </c>
      <c r="M108" s="2" t="s">
        <v>11</v>
      </c>
      <c r="N108" s="3"/>
      <c r="O108" s="5"/>
      <c r="P108" s="7">
        <v>120000</v>
      </c>
      <c r="S108" s="2" t="s">
        <v>11</v>
      </c>
      <c r="T108" s="3"/>
      <c r="U108" s="5"/>
      <c r="V108" s="7">
        <v>120000</v>
      </c>
      <c r="Y108" s="2" t="s">
        <v>11</v>
      </c>
      <c r="Z108" s="3"/>
      <c r="AA108" s="5"/>
      <c r="AB108" s="7">
        <v>120000</v>
      </c>
    </row>
    <row r="109" spans="1:28" hidden="1" outlineLevel="1">
      <c r="A109" s="2" t="s">
        <v>12</v>
      </c>
      <c r="B109" s="11"/>
      <c r="C109" s="5"/>
      <c r="D109" s="7">
        <v>670000</v>
      </c>
      <c r="E109" s="22"/>
      <c r="G109" s="2" t="s">
        <v>12</v>
      </c>
      <c r="H109" s="11"/>
      <c r="I109" s="5"/>
      <c r="J109" s="7">
        <v>670000</v>
      </c>
      <c r="M109" s="2" t="s">
        <v>12</v>
      </c>
      <c r="N109" s="3"/>
      <c r="O109" s="5"/>
      <c r="P109" s="7">
        <v>670000</v>
      </c>
      <c r="S109" s="2" t="s">
        <v>12</v>
      </c>
      <c r="T109" s="3"/>
      <c r="U109" s="5"/>
      <c r="V109" s="7">
        <v>670000</v>
      </c>
      <c r="Y109" s="2" t="s">
        <v>12</v>
      </c>
      <c r="Z109" s="3"/>
      <c r="AA109" s="5"/>
      <c r="AB109" s="7">
        <v>670000</v>
      </c>
    </row>
    <row r="110" spans="1:28" hidden="1" outlineLevel="1">
      <c r="A110" s="2" t="s">
        <v>13</v>
      </c>
      <c r="B110" s="8" t="s">
        <v>14</v>
      </c>
      <c r="C110" s="5">
        <f>(0.2*C103)+(0.13*C104)+(0.08*C105)+(0.32*C106)+0.28</f>
        <v>4.2700000000000005</v>
      </c>
      <c r="D110" s="1">
        <f>C110*25000</f>
        <v>106750.00000000001</v>
      </c>
      <c r="E110" s="4"/>
      <c r="G110" s="2" t="s">
        <v>13</v>
      </c>
      <c r="H110" s="8" t="s">
        <v>14</v>
      </c>
      <c r="I110" s="5">
        <f>(0.2*I103)+(0.13*I104)+(0.08*I105)+(0.32*I106)+0.28</f>
        <v>4.4860000000000007</v>
      </c>
      <c r="J110" s="1">
        <f>I110*25000</f>
        <v>112150.00000000001</v>
      </c>
      <c r="M110" s="2" t="s">
        <v>13</v>
      </c>
      <c r="N110" s="1" t="s">
        <v>14</v>
      </c>
      <c r="O110" s="5">
        <f>(0.2*O103)+(0.13*O104)+(0.08*O105)+(0.32*O106)+0.28</f>
        <v>4.5599999999999996</v>
      </c>
      <c r="P110" s="1">
        <f>O110*25000</f>
        <v>113999.99999999999</v>
      </c>
      <c r="S110" s="2" t="s">
        <v>13</v>
      </c>
      <c r="T110" s="1" t="s">
        <v>14</v>
      </c>
      <c r="U110" s="5">
        <f>(0.2*U103)+(0.13*U104)+(0.08*U105)+(0.32*U106)+0.28</f>
        <v>4.8959999999999999</v>
      </c>
      <c r="V110" s="1">
        <f>U110*25000</f>
        <v>122400</v>
      </c>
      <c r="Y110" s="2" t="s">
        <v>13</v>
      </c>
      <c r="Z110" s="1" t="s">
        <v>14</v>
      </c>
      <c r="AA110" s="5">
        <f>(0.2*AA103)+(0.13*AA104)+(0.08*AA105)+(0.32*AA106)+0.28</f>
        <v>5.056</v>
      </c>
      <c r="AB110" s="1">
        <f>AA110*25000</f>
        <v>126400</v>
      </c>
    </row>
    <row r="111" spans="1:28" hidden="1" outlineLevel="1">
      <c r="A111" s="2" t="s">
        <v>15</v>
      </c>
      <c r="B111" s="10" t="s">
        <v>14</v>
      </c>
      <c r="C111" s="1">
        <v>13.8</v>
      </c>
      <c r="D111" s="6">
        <f>64320*0.88/1.2*C111</f>
        <v>650918.40000000002</v>
      </c>
      <c r="E111" s="4"/>
      <c r="G111" s="2" t="s">
        <v>15</v>
      </c>
      <c r="H111" s="10" t="s">
        <v>14</v>
      </c>
      <c r="I111" s="1">
        <v>18.399999999999999</v>
      </c>
      <c r="J111" s="6">
        <f>63420*0.88/1.2*I111</f>
        <v>855747.2</v>
      </c>
      <c r="M111" s="2" t="s">
        <v>15</v>
      </c>
      <c r="N111" s="2" t="s">
        <v>14</v>
      </c>
      <c r="O111" s="1">
        <v>18.399999999999999</v>
      </c>
      <c r="P111" s="6">
        <f>63420*0.88/1.2*O111</f>
        <v>855747.2</v>
      </c>
      <c r="S111" s="2" t="s">
        <v>15</v>
      </c>
      <c r="T111" s="2" t="s">
        <v>14</v>
      </c>
      <c r="U111" s="1">
        <v>23</v>
      </c>
      <c r="V111" s="6">
        <f>63420*0.88/1.2*U111</f>
        <v>1069684</v>
      </c>
      <c r="Y111" s="2" t="s">
        <v>15</v>
      </c>
      <c r="Z111" s="2" t="s">
        <v>14</v>
      </c>
      <c r="AA111" s="1">
        <v>23</v>
      </c>
      <c r="AB111" s="6">
        <f>63420*0.88/1.2*AA111</f>
        <v>1069684</v>
      </c>
    </row>
    <row r="112" spans="1:28" hidden="1" outlineLevel="1">
      <c r="A112" s="2" t="s">
        <v>16</v>
      </c>
      <c r="B112" s="10" t="s">
        <v>10</v>
      </c>
      <c r="C112" s="1">
        <v>1</v>
      </c>
      <c r="D112" s="1">
        <v>180000</v>
      </c>
      <c r="E112" s="4"/>
      <c r="G112" s="2" t="s">
        <v>16</v>
      </c>
      <c r="H112" s="10" t="s">
        <v>10</v>
      </c>
      <c r="I112" s="1">
        <v>1</v>
      </c>
      <c r="J112" s="1">
        <v>180000</v>
      </c>
      <c r="M112" s="2" t="s">
        <v>16</v>
      </c>
      <c r="N112" s="2" t="s">
        <v>10</v>
      </c>
      <c r="O112" s="1">
        <v>1</v>
      </c>
      <c r="P112" s="1">
        <v>180000</v>
      </c>
      <c r="S112" s="2" t="s">
        <v>16</v>
      </c>
      <c r="T112" s="2" t="s">
        <v>10</v>
      </c>
      <c r="U112" s="1">
        <v>1</v>
      </c>
      <c r="V112" s="1">
        <v>180000</v>
      </c>
      <c r="Y112" s="2" t="s">
        <v>16</v>
      </c>
      <c r="Z112" s="2" t="s">
        <v>10</v>
      </c>
      <c r="AA112" s="1">
        <v>1</v>
      </c>
      <c r="AB112" s="1">
        <v>180000</v>
      </c>
    </row>
    <row r="113" spans="1:28" hidden="1" outlineLevel="1">
      <c r="A113" s="2" t="s">
        <v>17</v>
      </c>
      <c r="B113" s="10" t="s">
        <v>10</v>
      </c>
      <c r="C113" s="1"/>
      <c r="D113" s="7">
        <v>871000</v>
      </c>
      <c r="E113" s="22"/>
      <c r="F113" t="s">
        <v>42</v>
      </c>
      <c r="G113" s="2" t="s">
        <v>17</v>
      </c>
      <c r="H113" s="10" t="s">
        <v>10</v>
      </c>
      <c r="I113" s="1"/>
      <c r="J113" s="7">
        <v>871000</v>
      </c>
      <c r="M113" s="2" t="s">
        <v>17</v>
      </c>
      <c r="N113" s="2" t="s">
        <v>10</v>
      </c>
      <c r="O113" s="1"/>
      <c r="P113" s="7">
        <v>871000</v>
      </c>
      <c r="S113" s="2" t="s">
        <v>17</v>
      </c>
      <c r="T113" s="2" t="s">
        <v>10</v>
      </c>
      <c r="U113" s="1"/>
      <c r="V113" s="7">
        <v>871000</v>
      </c>
      <c r="Y113" s="2" t="s">
        <v>17</v>
      </c>
      <c r="Z113" s="2" t="s">
        <v>10</v>
      </c>
      <c r="AA113" s="1"/>
      <c r="AB113" s="7">
        <v>871000</v>
      </c>
    </row>
    <row r="114" spans="1:28" hidden="1" outlineLevel="1">
      <c r="A114" s="2" t="s">
        <v>48</v>
      </c>
      <c r="B114" s="10" t="s">
        <v>50</v>
      </c>
      <c r="C114" s="1"/>
      <c r="D114" s="1">
        <f>SUM(D103:D113)</f>
        <v>4817721.6985304169</v>
      </c>
      <c r="E114" s="4"/>
      <c r="G114" s="2" t="s">
        <v>48</v>
      </c>
      <c r="H114" s="10" t="s">
        <v>50</v>
      </c>
      <c r="I114" s="1"/>
      <c r="J114" s="1">
        <f>SUM(J103:J113)</f>
        <v>5050462.7903170837</v>
      </c>
      <c r="M114" s="2" t="s">
        <v>48</v>
      </c>
      <c r="N114" s="10" t="s">
        <v>50</v>
      </c>
      <c r="O114" s="1"/>
      <c r="P114" s="1">
        <f>SUM(P103:P113)</f>
        <v>5060044.9732637499</v>
      </c>
      <c r="S114" s="2" t="s">
        <v>48</v>
      </c>
      <c r="T114" s="10" t="s">
        <v>50</v>
      </c>
      <c r="U114" s="1"/>
      <c r="V114" s="1">
        <f>SUM(V103:V113)</f>
        <v>5319552.749050417</v>
      </c>
      <c r="Y114" s="2" t="s">
        <v>48</v>
      </c>
      <c r="Z114" s="10" t="s">
        <v>50</v>
      </c>
      <c r="AA114" s="1"/>
      <c r="AB114" s="1">
        <f>SUM(AB103:AB113)</f>
        <v>5340385.6290504169</v>
      </c>
    </row>
    <row r="115" spans="1:28" hidden="1" outlineLevel="1">
      <c r="A115" s="2" t="s">
        <v>49</v>
      </c>
      <c r="B115" s="10" t="s">
        <v>51</v>
      </c>
      <c r="C115" s="1">
        <v>90</v>
      </c>
      <c r="D115" s="1">
        <f>D114*1.9</f>
        <v>9153671.2272077911</v>
      </c>
      <c r="E115" s="4"/>
      <c r="G115" s="2" t="s">
        <v>49</v>
      </c>
      <c r="H115" s="10" t="s">
        <v>51</v>
      </c>
      <c r="I115" s="1">
        <v>90</v>
      </c>
      <c r="J115" s="1">
        <f>J114*1.9</f>
        <v>9595879.3016024586</v>
      </c>
      <c r="M115" s="2" t="s">
        <v>49</v>
      </c>
      <c r="N115" s="10" t="s">
        <v>51</v>
      </c>
      <c r="O115" s="1">
        <v>90</v>
      </c>
      <c r="P115" s="1">
        <f>P114*1.9</f>
        <v>9614085.4492011238</v>
      </c>
      <c r="S115" s="2" t="s">
        <v>49</v>
      </c>
      <c r="T115" s="10" t="s">
        <v>51</v>
      </c>
      <c r="U115" s="1">
        <v>90</v>
      </c>
      <c r="V115" s="1">
        <f>V114*1.9</f>
        <v>10107150.223195791</v>
      </c>
      <c r="Y115" s="2" t="s">
        <v>49</v>
      </c>
      <c r="Z115" s="10" t="s">
        <v>51</v>
      </c>
      <c r="AA115" s="1">
        <v>90</v>
      </c>
      <c r="AB115" s="1">
        <f>AB114*1.9</f>
        <v>10146732.695195792</v>
      </c>
    </row>
    <row r="116" spans="1:28" hidden="1" outlineLevel="1">
      <c r="A116" s="2" t="s">
        <v>52</v>
      </c>
      <c r="B116" s="10" t="s">
        <v>51</v>
      </c>
      <c r="C116" s="2">
        <v>20</v>
      </c>
      <c r="D116" s="1">
        <f>D115*0.2</f>
        <v>1830734.2454415583</v>
      </c>
      <c r="E116" s="4"/>
      <c r="G116" s="2" t="s">
        <v>52</v>
      </c>
      <c r="H116" s="10" t="s">
        <v>51</v>
      </c>
      <c r="I116" s="2">
        <v>20</v>
      </c>
      <c r="J116" s="1">
        <f>J115*0.2</f>
        <v>1919175.8603204917</v>
      </c>
      <c r="M116" s="2" t="s">
        <v>52</v>
      </c>
      <c r="N116" s="10" t="s">
        <v>51</v>
      </c>
      <c r="O116" s="2">
        <v>20</v>
      </c>
      <c r="P116" s="1">
        <f>P115*0.2</f>
        <v>1922817.0898402249</v>
      </c>
      <c r="S116" s="2" t="s">
        <v>52</v>
      </c>
      <c r="T116" s="10" t="s">
        <v>51</v>
      </c>
      <c r="U116" s="2">
        <v>20</v>
      </c>
      <c r="V116" s="1">
        <f>V115*0.2</f>
        <v>2021430.0446391583</v>
      </c>
      <c r="Y116" s="2" t="s">
        <v>52</v>
      </c>
      <c r="Z116" s="10" t="s">
        <v>51</v>
      </c>
      <c r="AA116" s="2">
        <v>20</v>
      </c>
      <c r="AB116" s="1">
        <f>AB115*0.2</f>
        <v>2029346.5390391585</v>
      </c>
    </row>
    <row r="117" spans="1:28" collapsed="1">
      <c r="A117" s="2" t="s">
        <v>53</v>
      </c>
      <c r="B117" s="10"/>
      <c r="C117" s="1"/>
      <c r="D117" s="18">
        <f>D116+D115</f>
        <v>10984405.472649349</v>
      </c>
      <c r="E117" s="4"/>
      <c r="G117" s="2" t="s">
        <v>53</v>
      </c>
      <c r="H117" s="10"/>
      <c r="I117" s="1"/>
      <c r="J117" s="18">
        <f>J115+J116</f>
        <v>11515055.16192295</v>
      </c>
      <c r="M117" s="2" t="s">
        <v>53</v>
      </c>
      <c r="N117" s="10"/>
      <c r="O117" s="1"/>
      <c r="P117" s="18">
        <f>P116+P115</f>
        <v>11536902.539041348</v>
      </c>
      <c r="S117" s="2" t="s">
        <v>53</v>
      </c>
      <c r="T117" s="10"/>
      <c r="U117" s="1"/>
      <c r="V117" s="18">
        <f>V116+V115</f>
        <v>12128580.26783495</v>
      </c>
      <c r="Y117" s="2" t="s">
        <v>53</v>
      </c>
      <c r="Z117" s="10"/>
      <c r="AA117" s="1"/>
      <c r="AB117" s="18">
        <f>AB116+AB115</f>
        <v>12176079.234234951</v>
      </c>
    </row>
    <row r="120" spans="1:28" ht="31.5">
      <c r="A120" s="32" t="s">
        <v>58</v>
      </c>
    </row>
    <row r="121" spans="1:28" ht="36">
      <c r="A121" s="35" t="s">
        <v>60</v>
      </c>
    </row>
    <row r="123" spans="1:28">
      <c r="A123" s="1" t="s">
        <v>44</v>
      </c>
      <c r="B123" s="14" t="s">
        <v>54</v>
      </c>
      <c r="C123" s="14"/>
      <c r="D123" s="14"/>
      <c r="E123" s="4"/>
      <c r="G123" s="1" t="s">
        <v>45</v>
      </c>
      <c r="M123" s="1" t="s">
        <v>46</v>
      </c>
      <c r="S123" s="1" t="s">
        <v>47</v>
      </c>
      <c r="Y123" s="1" t="s">
        <v>59</v>
      </c>
    </row>
    <row r="124" spans="1:28">
      <c r="A124" s="19" t="s">
        <v>0</v>
      </c>
      <c r="B124" s="19" t="s">
        <v>1</v>
      </c>
      <c r="C124" s="19" t="s">
        <v>2</v>
      </c>
      <c r="D124" s="19" t="s">
        <v>3</v>
      </c>
      <c r="E124" s="4"/>
      <c r="G124" s="19" t="s">
        <v>0</v>
      </c>
      <c r="H124" s="19" t="s">
        <v>1</v>
      </c>
      <c r="I124" s="19" t="s">
        <v>2</v>
      </c>
      <c r="J124" s="19" t="s">
        <v>3</v>
      </c>
      <c r="M124" s="19" t="s">
        <v>0</v>
      </c>
      <c r="N124" s="19" t="s">
        <v>1</v>
      </c>
      <c r="O124" s="19" t="s">
        <v>2</v>
      </c>
      <c r="P124" s="19" t="s">
        <v>3</v>
      </c>
      <c r="S124" s="19" t="s">
        <v>0</v>
      </c>
      <c r="T124" s="19" t="s">
        <v>1</v>
      </c>
      <c r="U124" s="19" t="s">
        <v>2</v>
      </c>
      <c r="V124" s="19" t="s">
        <v>3</v>
      </c>
      <c r="Y124" s="19" t="s">
        <v>0</v>
      </c>
      <c r="Z124" s="19" t="s">
        <v>1</v>
      </c>
      <c r="AA124" s="19" t="s">
        <v>2</v>
      </c>
      <c r="AB124" s="19" t="s">
        <v>3</v>
      </c>
    </row>
    <row r="125" spans="1:28" hidden="1" outlineLevel="1">
      <c r="A125" s="1" t="s">
        <v>4</v>
      </c>
      <c r="B125" s="1" t="s">
        <v>8</v>
      </c>
      <c r="C125" s="1">
        <v>11</v>
      </c>
      <c r="D125" s="1">
        <f>9354680/1.2/1000*2.96*C125+(28000*2)</f>
        <v>309823.65066666668</v>
      </c>
      <c r="E125" s="4"/>
      <c r="G125" s="1" t="s">
        <v>4</v>
      </c>
      <c r="H125" s="1" t="s">
        <v>8</v>
      </c>
      <c r="I125" s="1">
        <v>11.5</v>
      </c>
      <c r="J125" s="1">
        <f>9354680/1.2/1000*2.96*I125+(28000*2)</f>
        <v>321361.08933333337</v>
      </c>
      <c r="M125" s="1" t="s">
        <v>4</v>
      </c>
      <c r="N125" s="1" t="s">
        <v>8</v>
      </c>
      <c r="O125" s="1">
        <v>12.5</v>
      </c>
      <c r="P125" s="1">
        <f>9354680/1.2/1000*2.96*O125+(28000*2)</f>
        <v>344435.96666666667</v>
      </c>
      <c r="S125" s="1" t="s">
        <v>4</v>
      </c>
      <c r="T125" s="1" t="s">
        <v>8</v>
      </c>
      <c r="U125" s="1">
        <v>12.5</v>
      </c>
      <c r="V125" s="1">
        <f>9354680/1.2/1000*2.96*U125+(28000*2)</f>
        <v>344435.96666666667</v>
      </c>
      <c r="Y125" s="1" t="s">
        <v>4</v>
      </c>
      <c r="Z125" s="1" t="s">
        <v>8</v>
      </c>
      <c r="AA125" s="1">
        <v>13</v>
      </c>
      <c r="AB125" s="1">
        <f>9354680/1.2/1000*2.96*AA125</f>
        <v>299973.40533333336</v>
      </c>
    </row>
    <row r="126" spans="1:28" hidden="1" outlineLevel="1">
      <c r="A126" s="1" t="s">
        <v>5</v>
      </c>
      <c r="B126" s="1" t="s">
        <v>8</v>
      </c>
      <c r="C126" s="1">
        <v>4.8</v>
      </c>
      <c r="D126" s="1">
        <f>10874266/1.2/1000*1.48*C126</f>
        <v>64375.654720000006</v>
      </c>
      <c r="E126" s="4"/>
      <c r="G126" s="1" t="s">
        <v>5</v>
      </c>
      <c r="H126" s="1" t="s">
        <v>8</v>
      </c>
      <c r="I126" s="1">
        <v>6</v>
      </c>
      <c r="J126" s="1">
        <f>10874260/1.2/1000*1.48*I126</f>
        <v>80469.524000000005</v>
      </c>
      <c r="M126" s="1" t="s">
        <v>5</v>
      </c>
      <c r="N126" s="1" t="s">
        <v>8</v>
      </c>
      <c r="O126" s="1">
        <v>6</v>
      </c>
      <c r="P126" s="1">
        <f>10874260/1.2/1000*1.48*O126</f>
        <v>80469.524000000005</v>
      </c>
      <c r="S126" s="1" t="s">
        <v>5</v>
      </c>
      <c r="T126" s="1" t="s">
        <v>8</v>
      </c>
      <c r="U126" s="1">
        <v>6.6</v>
      </c>
      <c r="V126" s="1">
        <f>10874260/1.2/1000*1.48*U126</f>
        <v>88516.4764</v>
      </c>
      <c r="Y126" s="1" t="s">
        <v>5</v>
      </c>
      <c r="Z126" s="1" t="s">
        <v>8</v>
      </c>
      <c r="AA126" s="1">
        <v>7</v>
      </c>
      <c r="AB126" s="1">
        <f>10874260/1.2/1000*1.48*AA126</f>
        <v>93881.111333333334</v>
      </c>
    </row>
    <row r="127" spans="1:28" hidden="1" outlineLevel="1">
      <c r="A127" s="1" t="s">
        <v>6</v>
      </c>
      <c r="B127" s="1" t="s">
        <v>8</v>
      </c>
      <c r="C127" s="1"/>
      <c r="D127" s="1">
        <f>9351600/1.2/1000*1.08*C127</f>
        <v>0</v>
      </c>
      <c r="E127" s="4"/>
      <c r="G127" s="1" t="s">
        <v>6</v>
      </c>
      <c r="H127" s="1" t="s">
        <v>8</v>
      </c>
      <c r="I127" s="1"/>
      <c r="J127" s="1">
        <f>9351600/1.2/1000*1.08*I127</f>
        <v>0</v>
      </c>
      <c r="M127" s="1" t="s">
        <v>6</v>
      </c>
      <c r="N127" s="1" t="s">
        <v>8</v>
      </c>
      <c r="O127" s="1"/>
      <c r="P127" s="1">
        <f>9351600/1.2/1000*1.08*O127</f>
        <v>0</v>
      </c>
      <c r="S127" s="1" t="s">
        <v>6</v>
      </c>
      <c r="T127" s="1" t="s">
        <v>8</v>
      </c>
      <c r="U127" s="1"/>
      <c r="V127" s="1">
        <f>9351600/1.2/1000*1.08*U127</f>
        <v>0</v>
      </c>
      <c r="Y127" s="1" t="s">
        <v>6</v>
      </c>
      <c r="Z127" s="1" t="s">
        <v>8</v>
      </c>
      <c r="AA127" s="1"/>
      <c r="AB127" s="1">
        <f>9351600/1.2/1000*1.08*AA127</f>
        <v>0</v>
      </c>
    </row>
    <row r="128" spans="1:28" hidden="1" outlineLevel="1">
      <c r="A128" s="1" t="s">
        <v>7</v>
      </c>
      <c r="B128" s="1" t="s">
        <v>8</v>
      </c>
      <c r="C128" s="1">
        <v>2.0499999999999998</v>
      </c>
      <c r="D128" s="1">
        <f>9819170/1.2/1000*7.13*C128</f>
        <v>119601.58192083334</v>
      </c>
      <c r="E128" s="4"/>
      <c r="G128" s="1" t="s">
        <v>7</v>
      </c>
      <c r="H128" s="1" t="s">
        <v>8</v>
      </c>
      <c r="I128" s="1">
        <v>2.0499999999999998</v>
      </c>
      <c r="J128" s="1">
        <f>9819170/1.2/1000*7.13*I128</f>
        <v>119601.58192083334</v>
      </c>
      <c r="M128" s="1" t="s">
        <v>7</v>
      </c>
      <c r="N128" s="1" t="s">
        <v>8</v>
      </c>
      <c r="O128" s="1">
        <v>2.0499999999999998</v>
      </c>
      <c r="P128" s="1">
        <f>9819170/1.2/1000*7.13*O128</f>
        <v>119601.58192083334</v>
      </c>
      <c r="S128" s="1" t="s">
        <v>7</v>
      </c>
      <c r="T128" s="1" t="s">
        <v>8</v>
      </c>
      <c r="U128" s="1">
        <v>2.0499999999999998</v>
      </c>
      <c r="V128" s="1">
        <f>9819170/1.2/1000*7.13*U128</f>
        <v>119601.58192083334</v>
      </c>
      <c r="Y128" s="1" t="s">
        <v>7</v>
      </c>
      <c r="Z128" s="1" t="s">
        <v>8</v>
      </c>
      <c r="AA128" s="1">
        <v>2.0499999999999998</v>
      </c>
      <c r="AB128" s="1">
        <f>9819170/1.2/1000*7.13*AA128</f>
        <v>119601.58192083334</v>
      </c>
    </row>
    <row r="129" spans="1:28" hidden="1" outlineLevel="1">
      <c r="A129" s="1" t="s">
        <v>20</v>
      </c>
      <c r="B129" s="1" t="s">
        <v>8</v>
      </c>
      <c r="C129" s="1">
        <v>4.3</v>
      </c>
      <c r="D129" s="1">
        <f>C129*16500</f>
        <v>70950</v>
      </c>
      <c r="E129" s="4"/>
      <c r="G129" s="1" t="s">
        <v>20</v>
      </c>
      <c r="H129" s="1" t="s">
        <v>8</v>
      </c>
      <c r="I129" s="1">
        <v>4.3</v>
      </c>
      <c r="J129" s="1">
        <f>I129*16500</f>
        <v>70950</v>
      </c>
      <c r="M129" s="1" t="s">
        <v>20</v>
      </c>
      <c r="N129" s="1" t="s">
        <v>8</v>
      </c>
      <c r="O129" s="1">
        <v>4.3</v>
      </c>
      <c r="P129" s="1">
        <f>O129*16500</f>
        <v>70950</v>
      </c>
      <c r="S129" s="1" t="s">
        <v>20</v>
      </c>
      <c r="T129" s="1" t="s">
        <v>8</v>
      </c>
      <c r="U129" s="1">
        <v>4.3</v>
      </c>
      <c r="V129" s="1">
        <f>U129*16500</f>
        <v>70950</v>
      </c>
      <c r="Y129" s="1" t="s">
        <v>20</v>
      </c>
      <c r="Z129" s="1" t="s">
        <v>8</v>
      </c>
      <c r="AA129" s="1">
        <v>4.3</v>
      </c>
      <c r="AB129" s="1">
        <f>AA129*16500</f>
        <v>70950</v>
      </c>
    </row>
    <row r="130" spans="1:28" hidden="1" outlineLevel="1">
      <c r="A130" s="2" t="s">
        <v>9</v>
      </c>
      <c r="B130" s="2" t="s">
        <v>10</v>
      </c>
      <c r="C130" s="1">
        <v>1</v>
      </c>
      <c r="D130" s="1">
        <f>2076000/1.2</f>
        <v>1730000</v>
      </c>
      <c r="E130" s="4"/>
      <c r="G130" s="2" t="s">
        <v>9</v>
      </c>
      <c r="H130" s="2" t="s">
        <v>10</v>
      </c>
      <c r="I130" s="1">
        <v>1</v>
      </c>
      <c r="J130" s="1">
        <f>2076000/1.2</f>
        <v>1730000</v>
      </c>
      <c r="M130" s="2" t="s">
        <v>9</v>
      </c>
      <c r="N130" s="2" t="s">
        <v>10</v>
      </c>
      <c r="O130" s="1">
        <v>1</v>
      </c>
      <c r="P130" s="1">
        <f>2076000/1.2</f>
        <v>1730000</v>
      </c>
      <c r="S130" s="2" t="s">
        <v>9</v>
      </c>
      <c r="T130" s="2" t="s">
        <v>10</v>
      </c>
      <c r="U130" s="1">
        <v>1</v>
      </c>
      <c r="V130" s="1">
        <f>2076000/1.2</f>
        <v>1730000</v>
      </c>
      <c r="Y130" s="2" t="s">
        <v>9</v>
      </c>
      <c r="Z130" s="2" t="s">
        <v>10</v>
      </c>
      <c r="AA130" s="1">
        <v>1</v>
      </c>
      <c r="AB130" s="1">
        <f>2076000/1.2</f>
        <v>1730000</v>
      </c>
    </row>
    <row r="131" spans="1:28" hidden="1" outlineLevel="1">
      <c r="A131" s="2" t="s">
        <v>11</v>
      </c>
      <c r="B131" s="3"/>
      <c r="C131" s="5"/>
      <c r="D131" s="7">
        <v>120000</v>
      </c>
      <c r="E131" s="22"/>
      <c r="G131" s="2" t="s">
        <v>11</v>
      </c>
      <c r="H131" s="3"/>
      <c r="I131" s="5"/>
      <c r="J131" s="7">
        <v>120000</v>
      </c>
      <c r="M131" s="2" t="s">
        <v>11</v>
      </c>
      <c r="N131" s="3"/>
      <c r="O131" s="5"/>
      <c r="P131" s="7">
        <v>120000</v>
      </c>
      <c r="S131" s="2" t="s">
        <v>11</v>
      </c>
      <c r="T131" s="3"/>
      <c r="U131" s="5"/>
      <c r="V131" s="7">
        <v>120000</v>
      </c>
      <c r="Y131" s="2" t="s">
        <v>11</v>
      </c>
      <c r="Z131" s="3"/>
      <c r="AA131" s="5"/>
      <c r="AB131" s="7">
        <v>120000</v>
      </c>
    </row>
    <row r="132" spans="1:28" hidden="1" outlineLevel="1">
      <c r="A132" s="2" t="s">
        <v>12</v>
      </c>
      <c r="B132" s="3"/>
      <c r="C132" s="5"/>
      <c r="D132" s="7">
        <v>670000</v>
      </c>
      <c r="E132" s="22"/>
      <c r="G132" s="2" t="s">
        <v>12</v>
      </c>
      <c r="H132" s="3"/>
      <c r="I132" s="5"/>
      <c r="J132" s="7">
        <v>670000</v>
      </c>
      <c r="M132" s="2" t="s">
        <v>12</v>
      </c>
      <c r="N132" s="3"/>
      <c r="O132" s="5"/>
      <c r="P132" s="7">
        <v>670000</v>
      </c>
      <c r="S132" s="2" t="s">
        <v>12</v>
      </c>
      <c r="T132" s="3"/>
      <c r="U132" s="5"/>
      <c r="V132" s="7">
        <v>670000</v>
      </c>
      <c r="Y132" s="2" t="s">
        <v>12</v>
      </c>
      <c r="Z132" s="3"/>
      <c r="AA132" s="5"/>
      <c r="AB132" s="7">
        <v>670000</v>
      </c>
    </row>
    <row r="133" spans="1:28" hidden="1" outlineLevel="1">
      <c r="A133" s="2" t="s">
        <v>13</v>
      </c>
      <c r="B133" s="1" t="s">
        <v>14</v>
      </c>
      <c r="C133" s="5">
        <f>(0.2*C125)+(0.13*C2)+(0.08*C127)+(0.32*C128)+(0.1*C129)</f>
        <v>3.286</v>
      </c>
      <c r="D133" s="1">
        <f>C133*25000</f>
        <v>82150</v>
      </c>
      <c r="E133" s="4"/>
      <c r="G133" s="2" t="s">
        <v>13</v>
      </c>
      <c r="H133" s="1" t="s">
        <v>14</v>
      </c>
      <c r="I133" s="5">
        <f>(0.2*I125)+(0.13*I2)+(0.08*I127)+(0.32*I128)+(0.1*I129)</f>
        <v>3.3860000000000006</v>
      </c>
      <c r="J133" s="1">
        <f>I133*25000</f>
        <v>84650.000000000015</v>
      </c>
      <c r="M133" s="2" t="s">
        <v>13</v>
      </c>
      <c r="N133" s="1" t="s">
        <v>14</v>
      </c>
      <c r="O133" s="5">
        <f>(0.2*O125)+(0.13*O2)+(0.08*O127)+(0.32*O128)+(0.1*O129)</f>
        <v>3.5859999999999999</v>
      </c>
      <c r="P133" s="1">
        <f>O133*25000</f>
        <v>89650</v>
      </c>
      <c r="S133" s="2" t="s">
        <v>13</v>
      </c>
      <c r="T133" s="1" t="s">
        <v>14</v>
      </c>
      <c r="U133" s="5">
        <f>(0.2*U125)+(0.13*U2)+(0.08*U127)+(0.32*U128)+(0.1*U129)</f>
        <v>3.5859999999999999</v>
      </c>
      <c r="V133" s="1">
        <f>U133*25000</f>
        <v>89650</v>
      </c>
      <c r="Y133" s="2" t="s">
        <v>13</v>
      </c>
      <c r="Z133" s="1" t="s">
        <v>14</v>
      </c>
      <c r="AA133" s="5">
        <f>(0.2*AA125)+(0.13*AA2)+(0.08*AA127)+(0.32*AA128)+(0.1*AA129)</f>
        <v>3.6860000000000004</v>
      </c>
      <c r="AB133" s="1">
        <f>AA133*25000</f>
        <v>92150.000000000015</v>
      </c>
    </row>
    <row r="134" spans="1:28" hidden="1" outlineLevel="1">
      <c r="A134" s="2" t="s">
        <v>19</v>
      </c>
      <c r="B134" s="2" t="s">
        <v>8</v>
      </c>
      <c r="C134" s="1">
        <f>21*1.75</f>
        <v>36.75</v>
      </c>
      <c r="D134" s="6">
        <f>8250*1.75*C134</f>
        <v>530578.125</v>
      </c>
      <c r="E134" s="4"/>
      <c r="G134" s="2" t="s">
        <v>19</v>
      </c>
      <c r="H134" s="2" t="s">
        <v>8</v>
      </c>
      <c r="I134" s="1">
        <f>25*1.75</f>
        <v>43.75</v>
      </c>
      <c r="J134" s="6">
        <f>8250*1.75*I134</f>
        <v>631640.625</v>
      </c>
      <c r="M134" s="2" t="s">
        <v>19</v>
      </c>
      <c r="N134" s="2" t="s">
        <v>8</v>
      </c>
      <c r="O134" s="1">
        <f>28*1.75</f>
        <v>49</v>
      </c>
      <c r="P134" s="6">
        <f>8250*1.75*O134</f>
        <v>707437.5</v>
      </c>
      <c r="S134" s="2" t="s">
        <v>19</v>
      </c>
      <c r="T134" s="2" t="s">
        <v>8</v>
      </c>
      <c r="U134" s="1">
        <f>31*1.75</f>
        <v>54.25</v>
      </c>
      <c r="V134" s="6">
        <f>8250*1.75*U134</f>
        <v>783234.375</v>
      </c>
      <c r="Y134" s="2" t="s">
        <v>19</v>
      </c>
      <c r="Z134" s="2" t="s">
        <v>8</v>
      </c>
      <c r="AA134" s="1">
        <f>35*1.75</f>
        <v>61.25</v>
      </c>
      <c r="AB134" s="6">
        <f>8256*1.75*AA134</f>
        <v>884940</v>
      </c>
    </row>
    <row r="135" spans="1:28" hidden="1" outlineLevel="1">
      <c r="A135" s="2" t="s">
        <v>16</v>
      </c>
      <c r="B135" s="2" t="s">
        <v>10</v>
      </c>
      <c r="C135" s="1">
        <v>1</v>
      </c>
      <c r="D135" s="1">
        <v>180000</v>
      </c>
      <c r="E135" s="4"/>
      <c r="G135" s="2" t="s">
        <v>16</v>
      </c>
      <c r="H135" s="2" t="s">
        <v>10</v>
      </c>
      <c r="I135" s="1">
        <v>1</v>
      </c>
      <c r="J135" s="1">
        <v>180000</v>
      </c>
      <c r="M135" s="2" t="s">
        <v>16</v>
      </c>
      <c r="N135" s="2" t="s">
        <v>10</v>
      </c>
      <c r="O135" s="1">
        <v>1</v>
      </c>
      <c r="P135" s="1">
        <v>180000</v>
      </c>
      <c r="S135" s="2" t="s">
        <v>16</v>
      </c>
      <c r="T135" s="2" t="s">
        <v>10</v>
      </c>
      <c r="U135" s="1">
        <v>1</v>
      </c>
      <c r="V135" s="1">
        <v>180000</v>
      </c>
      <c r="Y135" s="2" t="s">
        <v>16</v>
      </c>
      <c r="Z135" s="2" t="s">
        <v>10</v>
      </c>
      <c r="AA135" s="1">
        <v>1</v>
      </c>
      <c r="AB135" s="1">
        <v>180000</v>
      </c>
    </row>
    <row r="136" spans="1:28" hidden="1" outlineLevel="1">
      <c r="A136" s="2" t="s">
        <v>17</v>
      </c>
      <c r="B136" s="2" t="s">
        <v>10</v>
      </c>
      <c r="C136" s="1"/>
      <c r="D136" s="7">
        <v>871000</v>
      </c>
      <c r="E136" s="22"/>
      <c r="G136" s="2" t="s">
        <v>17</v>
      </c>
      <c r="H136" s="2" t="s">
        <v>10</v>
      </c>
      <c r="I136" s="1"/>
      <c r="J136" s="7">
        <v>871000</v>
      </c>
      <c r="M136" s="2" t="s">
        <v>17</v>
      </c>
      <c r="N136" s="2" t="s">
        <v>10</v>
      </c>
      <c r="O136" s="1"/>
      <c r="P136" s="7">
        <v>871000</v>
      </c>
      <c r="S136" s="2" t="s">
        <v>17</v>
      </c>
      <c r="T136" s="2" t="s">
        <v>10</v>
      </c>
      <c r="U136" s="1"/>
      <c r="V136" s="7">
        <v>871000</v>
      </c>
      <c r="Y136" s="2" t="s">
        <v>17</v>
      </c>
      <c r="Z136" s="2" t="s">
        <v>10</v>
      </c>
      <c r="AA136" s="1"/>
      <c r="AB136" s="7">
        <v>871000</v>
      </c>
    </row>
    <row r="137" spans="1:28" hidden="1" outlineLevel="1">
      <c r="A137" s="2" t="s">
        <v>48</v>
      </c>
      <c r="B137" s="10" t="s">
        <v>50</v>
      </c>
      <c r="C137" s="1"/>
      <c r="D137" s="1">
        <f>SUM(D125:D136)</f>
        <v>4748479.0123075005</v>
      </c>
      <c r="E137" s="4"/>
      <c r="G137" s="2" t="s">
        <v>48</v>
      </c>
      <c r="H137" s="10" t="s">
        <v>50</v>
      </c>
      <c r="I137" s="1"/>
      <c r="J137" s="1">
        <f>SUM(J125:J136)</f>
        <v>4879672.8202541666</v>
      </c>
      <c r="M137" s="2" t="s">
        <v>48</v>
      </c>
      <c r="N137" s="10" t="s">
        <v>50</v>
      </c>
      <c r="O137" s="1"/>
      <c r="P137" s="1">
        <f>SUM(P125:P136)</f>
        <v>4983544.5725874994</v>
      </c>
      <c r="S137" s="2" t="s">
        <v>48</v>
      </c>
      <c r="T137" s="10" t="s">
        <v>50</v>
      </c>
      <c r="U137" s="1"/>
      <c r="V137" s="1">
        <f>SUM(V125:V136)</f>
        <v>5067388.3999875002</v>
      </c>
      <c r="Y137" s="2" t="s">
        <v>48</v>
      </c>
      <c r="Z137" s="10" t="s">
        <v>50</v>
      </c>
      <c r="AA137" s="1"/>
      <c r="AB137" s="1">
        <f>SUM(AB125:AB136)</f>
        <v>5132496.0985874999</v>
      </c>
    </row>
    <row r="138" spans="1:28" hidden="1" outlineLevel="1">
      <c r="A138" s="2" t="s">
        <v>49</v>
      </c>
      <c r="B138" s="10" t="s">
        <v>51</v>
      </c>
      <c r="C138" s="1">
        <v>1.7</v>
      </c>
      <c r="D138" s="1">
        <f>D137*C138</f>
        <v>8072414.320922751</v>
      </c>
      <c r="E138" s="4"/>
      <c r="G138" s="2" t="s">
        <v>49</v>
      </c>
      <c r="H138" s="10" t="s">
        <v>51</v>
      </c>
      <c r="I138" s="1">
        <v>1.7</v>
      </c>
      <c r="J138" s="1">
        <f>J137*I138</f>
        <v>8295443.7944320831</v>
      </c>
      <c r="M138" s="2" t="s">
        <v>49</v>
      </c>
      <c r="N138" s="10" t="s">
        <v>51</v>
      </c>
      <c r="O138" s="1">
        <v>1.7</v>
      </c>
      <c r="P138" s="1">
        <f>P137*O138</f>
        <v>8472025.7733987495</v>
      </c>
      <c r="S138" s="2" t="s">
        <v>49</v>
      </c>
      <c r="T138" s="10" t="s">
        <v>51</v>
      </c>
      <c r="U138" s="1">
        <v>1.75</v>
      </c>
      <c r="V138" s="1">
        <f>V137*U138</f>
        <v>8867929.6999781244</v>
      </c>
      <c r="Y138" s="2" t="s">
        <v>49</v>
      </c>
      <c r="Z138" s="10" t="s">
        <v>51</v>
      </c>
      <c r="AA138" s="1">
        <v>1.8</v>
      </c>
      <c r="AB138" s="1">
        <f>AB137*AA138</f>
        <v>9238492.977457501</v>
      </c>
    </row>
    <row r="139" spans="1:28" hidden="1" outlineLevel="1">
      <c r="A139" s="2" t="s">
        <v>52</v>
      </c>
      <c r="B139" s="10" t="s">
        <v>51</v>
      </c>
      <c r="C139" s="2">
        <v>20</v>
      </c>
      <c r="D139" s="1">
        <f>D138*0.2</f>
        <v>1614482.8641845502</v>
      </c>
      <c r="G139" s="2" t="s">
        <v>52</v>
      </c>
      <c r="H139" s="10" t="s">
        <v>51</v>
      </c>
      <c r="I139" s="2">
        <v>20</v>
      </c>
      <c r="J139" s="1">
        <f>J138*0.2</f>
        <v>1659088.7588864167</v>
      </c>
      <c r="M139" s="2" t="s">
        <v>52</v>
      </c>
      <c r="N139" s="10" t="s">
        <v>51</v>
      </c>
      <c r="O139" s="2">
        <v>20</v>
      </c>
      <c r="P139" s="1">
        <f>P138*0.2</f>
        <v>1694405.1546797501</v>
      </c>
      <c r="S139" s="2" t="s">
        <v>52</v>
      </c>
      <c r="T139" s="10" t="s">
        <v>51</v>
      </c>
      <c r="U139" s="2">
        <v>20</v>
      </c>
      <c r="V139" s="1">
        <f>V138*0.2</f>
        <v>1773585.9399956251</v>
      </c>
      <c r="Y139" s="2" t="s">
        <v>52</v>
      </c>
      <c r="Z139" s="10" t="s">
        <v>51</v>
      </c>
      <c r="AA139" s="2">
        <v>20</v>
      </c>
      <c r="AB139" s="1">
        <f>AB138*0.2</f>
        <v>1847698.5954915003</v>
      </c>
    </row>
    <row r="140" spans="1:28" collapsed="1">
      <c r="A140" s="2" t="s">
        <v>53</v>
      </c>
      <c r="B140" s="10"/>
      <c r="C140" s="1"/>
      <c r="D140" s="15">
        <f>D138+D139</f>
        <v>9686897.1851073019</v>
      </c>
      <c r="G140" s="2" t="s">
        <v>53</v>
      </c>
      <c r="H140" s="10"/>
      <c r="I140" s="1"/>
      <c r="J140" s="15">
        <f>J138+J139</f>
        <v>9954532.5533185005</v>
      </c>
      <c r="M140" s="2" t="s">
        <v>53</v>
      </c>
      <c r="N140" s="10"/>
      <c r="O140" s="1"/>
      <c r="P140" s="15">
        <f>P138+P139</f>
        <v>10166430.928078499</v>
      </c>
      <c r="S140" s="2" t="s">
        <v>53</v>
      </c>
      <c r="T140" s="10"/>
      <c r="U140" s="1"/>
      <c r="V140" s="15">
        <f>V138+V139</f>
        <v>10641515.639973748</v>
      </c>
      <c r="Y140" s="2" t="s">
        <v>53</v>
      </c>
      <c r="Z140" s="10"/>
      <c r="AA140" s="1"/>
      <c r="AB140" s="15">
        <f>AB138+AB139</f>
        <v>11086191.572949002</v>
      </c>
    </row>
    <row r="141" spans="1:28">
      <c r="C141" t="s">
        <v>42</v>
      </c>
    </row>
    <row r="144" spans="1:28">
      <c r="A144" s="1" t="s">
        <v>44</v>
      </c>
      <c r="B144" s="14" t="s">
        <v>63</v>
      </c>
      <c r="C144" s="14"/>
      <c r="D144" s="14"/>
      <c r="E144" s="4"/>
      <c r="G144" s="1" t="s">
        <v>45</v>
      </c>
      <c r="M144" s="1" t="s">
        <v>46</v>
      </c>
      <c r="S144" s="1" t="s">
        <v>47</v>
      </c>
      <c r="Y144" s="1" t="s">
        <v>59</v>
      </c>
    </row>
    <row r="145" spans="1:28">
      <c r="A145" s="19" t="s">
        <v>0</v>
      </c>
      <c r="B145" s="19" t="s">
        <v>1</v>
      </c>
      <c r="C145" s="19" t="s">
        <v>2</v>
      </c>
      <c r="D145" s="19" t="s">
        <v>3</v>
      </c>
      <c r="E145" s="4"/>
      <c r="G145" s="19" t="s">
        <v>0</v>
      </c>
      <c r="H145" s="19" t="s">
        <v>1</v>
      </c>
      <c r="I145" s="19" t="s">
        <v>2</v>
      </c>
      <c r="J145" s="19" t="s">
        <v>3</v>
      </c>
      <c r="M145" s="19" t="s">
        <v>0</v>
      </c>
      <c r="N145" s="19" t="s">
        <v>1</v>
      </c>
      <c r="O145" s="19" t="s">
        <v>2</v>
      </c>
      <c r="P145" s="19" t="s">
        <v>3</v>
      </c>
      <c r="S145" s="19" t="s">
        <v>0</v>
      </c>
      <c r="T145" s="19" t="s">
        <v>1</v>
      </c>
      <c r="U145" s="19" t="s">
        <v>2</v>
      </c>
      <c r="V145" s="19" t="s">
        <v>3</v>
      </c>
      <c r="Y145" s="19" t="s">
        <v>0</v>
      </c>
      <c r="Z145" s="19" t="s">
        <v>1</v>
      </c>
      <c r="AA145" s="19" t="s">
        <v>2</v>
      </c>
      <c r="AB145" s="19" t="s">
        <v>3</v>
      </c>
    </row>
    <row r="146" spans="1:28" hidden="1" outlineLevel="1">
      <c r="A146" s="1" t="s">
        <v>4</v>
      </c>
      <c r="B146" s="1" t="s">
        <v>8</v>
      </c>
      <c r="C146" s="1">
        <v>11</v>
      </c>
      <c r="D146" s="1">
        <f>9354680/1.2/1000*2.96*C146+(28000*2)</f>
        <v>309823.65066666668</v>
      </c>
      <c r="E146" s="4"/>
      <c r="G146" s="1" t="s">
        <v>4</v>
      </c>
      <c r="H146" s="1" t="s">
        <v>8</v>
      </c>
      <c r="I146" s="1">
        <v>11.5</v>
      </c>
      <c r="J146" s="1">
        <f>9354680/1.2/1000*2.96*I146+(28000*2)</f>
        <v>321361.08933333337</v>
      </c>
      <c r="M146" s="1" t="s">
        <v>4</v>
      </c>
      <c r="N146" s="1" t="s">
        <v>8</v>
      </c>
      <c r="O146" s="1">
        <v>12.5</v>
      </c>
      <c r="P146" s="1">
        <f>9354680/1.2/1000*2.96*O146+(28000*2)</f>
        <v>344435.96666666667</v>
      </c>
      <c r="S146" s="1" t="s">
        <v>4</v>
      </c>
      <c r="T146" s="1" t="s">
        <v>8</v>
      </c>
      <c r="U146" s="1">
        <v>12.5</v>
      </c>
      <c r="V146" s="1">
        <f>9354680/1.2/1000*2.96*U146+(28000*2)</f>
        <v>344435.96666666667</v>
      </c>
      <c r="Y146" s="1" t="s">
        <v>4</v>
      </c>
      <c r="Z146" s="1" t="s">
        <v>8</v>
      </c>
      <c r="AA146" s="1">
        <v>13</v>
      </c>
      <c r="AB146" s="1">
        <f>9354680/1.2/1000*2.96*AA146</f>
        <v>299973.40533333336</v>
      </c>
    </row>
    <row r="147" spans="1:28" hidden="1" outlineLevel="1">
      <c r="A147" s="1" t="s">
        <v>5</v>
      </c>
      <c r="B147" s="1" t="s">
        <v>8</v>
      </c>
      <c r="C147" s="1">
        <v>4.8</v>
      </c>
      <c r="D147" s="1">
        <f>10874266/1.2/1000*1.48*C147</f>
        <v>64375.654720000006</v>
      </c>
      <c r="E147" s="4"/>
      <c r="G147" s="1" t="s">
        <v>5</v>
      </c>
      <c r="H147" s="1" t="s">
        <v>8</v>
      </c>
      <c r="I147" s="1">
        <v>6</v>
      </c>
      <c r="J147" s="1">
        <f>10874260/1.2/1000*1.48*I147</f>
        <v>80469.524000000005</v>
      </c>
      <c r="M147" s="1" t="s">
        <v>5</v>
      </c>
      <c r="N147" s="1" t="s">
        <v>8</v>
      </c>
      <c r="O147" s="1">
        <v>6</v>
      </c>
      <c r="P147" s="1">
        <f>10874260/1.2/1000*1.48*O147</f>
        <v>80469.524000000005</v>
      </c>
      <c r="S147" s="1" t="s">
        <v>5</v>
      </c>
      <c r="T147" s="1" t="s">
        <v>8</v>
      </c>
      <c r="U147" s="1">
        <v>6.6</v>
      </c>
      <c r="V147" s="1">
        <f>10874260/1.2/1000*1.48*U147</f>
        <v>88516.4764</v>
      </c>
      <c r="Y147" s="1" t="s">
        <v>5</v>
      </c>
      <c r="Z147" s="1" t="s">
        <v>8</v>
      </c>
      <c r="AA147" s="1">
        <v>7</v>
      </c>
      <c r="AB147" s="1">
        <f>10874260/1.2/1000*1.48*AA147</f>
        <v>93881.111333333334</v>
      </c>
    </row>
    <row r="148" spans="1:28" hidden="1" outlineLevel="1">
      <c r="A148" s="1" t="s">
        <v>6</v>
      </c>
      <c r="B148" s="1" t="s">
        <v>8</v>
      </c>
      <c r="C148" s="1"/>
      <c r="D148" s="1">
        <f>9351600/1.2/1000*1.08*C148</f>
        <v>0</v>
      </c>
      <c r="E148" s="4"/>
      <c r="G148" s="1" t="s">
        <v>6</v>
      </c>
      <c r="H148" s="1" t="s">
        <v>8</v>
      </c>
      <c r="I148" s="1"/>
      <c r="J148" s="1">
        <f>9351600/1.2/1000*1.08*I148</f>
        <v>0</v>
      </c>
      <c r="M148" s="1" t="s">
        <v>6</v>
      </c>
      <c r="N148" s="1" t="s">
        <v>8</v>
      </c>
      <c r="O148" s="1"/>
      <c r="P148" s="1">
        <f>9351600/1.2/1000*1.08*O148</f>
        <v>0</v>
      </c>
      <c r="S148" s="1" t="s">
        <v>6</v>
      </c>
      <c r="T148" s="1" t="s">
        <v>8</v>
      </c>
      <c r="U148" s="1"/>
      <c r="V148" s="1">
        <f>9351600/1.2/1000*1.08*U148</f>
        <v>0</v>
      </c>
      <c r="Y148" s="1" t="s">
        <v>6</v>
      </c>
      <c r="Z148" s="1" t="s">
        <v>8</v>
      </c>
      <c r="AA148" s="1"/>
      <c r="AB148" s="1">
        <f>9351600/1.2/1000*1.08*AA148</f>
        <v>0</v>
      </c>
    </row>
    <row r="149" spans="1:28" hidden="1" outlineLevel="1">
      <c r="A149" s="1" t="s">
        <v>7</v>
      </c>
      <c r="B149" s="1" t="s">
        <v>8</v>
      </c>
      <c r="C149" s="1">
        <v>2.0499999999999998</v>
      </c>
      <c r="D149" s="1">
        <f>9819170/1.2/1000*7.13*C149</f>
        <v>119601.58192083334</v>
      </c>
      <c r="E149" s="4"/>
      <c r="G149" s="1" t="s">
        <v>7</v>
      </c>
      <c r="H149" s="1" t="s">
        <v>8</v>
      </c>
      <c r="I149" s="1">
        <v>2.0499999999999998</v>
      </c>
      <c r="J149" s="1">
        <f>9819170/1.2/1000*7.13*I149</f>
        <v>119601.58192083334</v>
      </c>
      <c r="M149" s="1" t="s">
        <v>7</v>
      </c>
      <c r="N149" s="1" t="s">
        <v>8</v>
      </c>
      <c r="O149" s="1">
        <v>2.0499999999999998</v>
      </c>
      <c r="P149" s="1">
        <f>9819170/1.2/1000*7.13*O149</f>
        <v>119601.58192083334</v>
      </c>
      <c r="S149" s="1" t="s">
        <v>7</v>
      </c>
      <c r="T149" s="1" t="s">
        <v>8</v>
      </c>
      <c r="U149" s="1">
        <v>2.0499999999999998</v>
      </c>
      <c r="V149" s="1">
        <f>9819170/1.2/1000*7.13*U149</f>
        <v>119601.58192083334</v>
      </c>
      <c r="Y149" s="1" t="s">
        <v>7</v>
      </c>
      <c r="Z149" s="1" t="s">
        <v>8</v>
      </c>
      <c r="AA149" s="1">
        <v>2.0499999999999998</v>
      </c>
      <c r="AB149" s="1">
        <f>9819170/1.2/1000*7.13*AA149</f>
        <v>119601.58192083334</v>
      </c>
    </row>
    <row r="150" spans="1:28" hidden="1" outlineLevel="1">
      <c r="A150" s="1" t="s">
        <v>20</v>
      </c>
      <c r="B150" s="1" t="s">
        <v>8</v>
      </c>
      <c r="C150" s="1">
        <v>4.3</v>
      </c>
      <c r="D150" s="1">
        <f>C150*16500</f>
        <v>70950</v>
      </c>
      <c r="E150" s="4"/>
      <c r="G150" s="1" t="s">
        <v>20</v>
      </c>
      <c r="H150" s="1" t="s">
        <v>8</v>
      </c>
      <c r="I150" s="1">
        <v>4.3</v>
      </c>
      <c r="J150" s="1">
        <f>I150*16500</f>
        <v>70950</v>
      </c>
      <c r="M150" s="1" t="s">
        <v>20</v>
      </c>
      <c r="N150" s="1" t="s">
        <v>8</v>
      </c>
      <c r="O150" s="1">
        <v>4.3</v>
      </c>
      <c r="P150" s="1">
        <f>O150*16500</f>
        <v>70950</v>
      </c>
      <c r="S150" s="1" t="s">
        <v>20</v>
      </c>
      <c r="T150" s="1" t="s">
        <v>8</v>
      </c>
      <c r="U150" s="1">
        <v>4.3</v>
      </c>
      <c r="V150" s="1">
        <f>U150*16500</f>
        <v>70950</v>
      </c>
      <c r="Y150" s="1" t="s">
        <v>20</v>
      </c>
      <c r="Z150" s="1" t="s">
        <v>8</v>
      </c>
      <c r="AA150" s="1">
        <v>4.3</v>
      </c>
      <c r="AB150" s="1">
        <f>AA150*16500</f>
        <v>70950</v>
      </c>
    </row>
    <row r="151" spans="1:28" hidden="1" outlineLevel="1">
      <c r="A151" s="2" t="s">
        <v>9</v>
      </c>
      <c r="B151" s="2" t="s">
        <v>10</v>
      </c>
      <c r="C151" s="1">
        <v>1</v>
      </c>
      <c r="D151" s="1">
        <f>2076000/1.2</f>
        <v>1730000</v>
      </c>
      <c r="E151" s="4"/>
      <c r="G151" s="2" t="s">
        <v>9</v>
      </c>
      <c r="H151" s="2" t="s">
        <v>10</v>
      </c>
      <c r="I151" s="1">
        <v>1</v>
      </c>
      <c r="J151" s="1">
        <f>2076000/1.2</f>
        <v>1730000</v>
      </c>
      <c r="M151" s="2" t="s">
        <v>9</v>
      </c>
      <c r="N151" s="2" t="s">
        <v>10</v>
      </c>
      <c r="O151" s="1">
        <v>1</v>
      </c>
      <c r="P151" s="1">
        <f>2076000/1.2</f>
        <v>1730000</v>
      </c>
      <c r="S151" s="2" t="s">
        <v>9</v>
      </c>
      <c r="T151" s="2" t="s">
        <v>10</v>
      </c>
      <c r="U151" s="1">
        <v>1</v>
      </c>
      <c r="V151" s="1">
        <f>2076000/1.2</f>
        <v>1730000</v>
      </c>
      <c r="Y151" s="2" t="s">
        <v>9</v>
      </c>
      <c r="Z151" s="2" t="s">
        <v>10</v>
      </c>
      <c r="AA151" s="1">
        <v>1</v>
      </c>
      <c r="AB151" s="1">
        <f>2076000/1.2</f>
        <v>1730000</v>
      </c>
    </row>
    <row r="152" spans="1:28" hidden="1" outlineLevel="1">
      <c r="A152" s="2" t="s">
        <v>11</v>
      </c>
      <c r="B152" s="3"/>
      <c r="C152" s="5"/>
      <c r="D152" s="7">
        <v>120000</v>
      </c>
      <c r="E152" s="22"/>
      <c r="G152" s="2" t="s">
        <v>11</v>
      </c>
      <c r="H152" s="3"/>
      <c r="I152" s="5"/>
      <c r="J152" s="7">
        <v>120000</v>
      </c>
      <c r="M152" s="2" t="s">
        <v>11</v>
      </c>
      <c r="N152" s="3"/>
      <c r="O152" s="5"/>
      <c r="P152" s="7">
        <v>120000</v>
      </c>
      <c r="S152" s="2" t="s">
        <v>11</v>
      </c>
      <c r="T152" s="3"/>
      <c r="U152" s="5"/>
      <c r="V152" s="7">
        <v>120000</v>
      </c>
      <c r="Y152" s="2" t="s">
        <v>11</v>
      </c>
      <c r="Z152" s="3"/>
      <c r="AA152" s="5"/>
      <c r="AB152" s="7">
        <v>120000</v>
      </c>
    </row>
    <row r="153" spans="1:28" hidden="1" outlineLevel="1">
      <c r="A153" s="2" t="s">
        <v>12</v>
      </c>
      <c r="B153" s="3"/>
      <c r="C153" s="5"/>
      <c r="D153" s="7">
        <v>670000</v>
      </c>
      <c r="E153" s="22"/>
      <c r="G153" s="2" t="s">
        <v>12</v>
      </c>
      <c r="H153" s="3"/>
      <c r="I153" s="5"/>
      <c r="J153" s="7">
        <v>670000</v>
      </c>
      <c r="M153" s="2" t="s">
        <v>12</v>
      </c>
      <c r="N153" s="3"/>
      <c r="O153" s="5"/>
      <c r="P153" s="7">
        <v>670000</v>
      </c>
      <c r="S153" s="2" t="s">
        <v>12</v>
      </c>
      <c r="T153" s="3"/>
      <c r="U153" s="5"/>
      <c r="V153" s="7">
        <v>670000</v>
      </c>
      <c r="Y153" s="2" t="s">
        <v>12</v>
      </c>
      <c r="Z153" s="3"/>
      <c r="AA153" s="5"/>
      <c r="AB153" s="7">
        <v>670000</v>
      </c>
    </row>
    <row r="154" spans="1:28" hidden="1" outlineLevel="1">
      <c r="A154" s="2" t="s">
        <v>13</v>
      </c>
      <c r="B154" s="1" t="s">
        <v>14</v>
      </c>
      <c r="C154" s="5">
        <f>(0.2*C146)+(0.13*C23)+(0.08*C148)+(0.32*C149)+(0.1*C150)</f>
        <v>4.5859999999999994</v>
      </c>
      <c r="D154" s="1">
        <f>C154*25000</f>
        <v>114649.99999999999</v>
      </c>
      <c r="E154" s="4"/>
      <c r="G154" s="2" t="s">
        <v>13</v>
      </c>
      <c r="H154" s="1" t="s">
        <v>14</v>
      </c>
      <c r="I154" s="5">
        <f>(0.2*I146)+(0.13*I23)+(0.08*I148)+(0.32*I149)+(0.1*I150)</f>
        <v>4.6859999999999999</v>
      </c>
      <c r="J154" s="1">
        <f>I154*25000</f>
        <v>117150</v>
      </c>
      <c r="M154" s="2" t="s">
        <v>13</v>
      </c>
      <c r="N154" s="1" t="s">
        <v>14</v>
      </c>
      <c r="O154" s="5">
        <f>(0.2*O146)+(0.13*O23)+(0.08*O148)+(0.32*O149)+(0.1*O150)</f>
        <v>4.8859999999999992</v>
      </c>
      <c r="P154" s="1">
        <f>O154*25000</f>
        <v>122149.99999999999</v>
      </c>
      <c r="S154" s="2" t="s">
        <v>13</v>
      </c>
      <c r="T154" s="1" t="s">
        <v>14</v>
      </c>
      <c r="U154" s="5">
        <f>(0.2*U146)+(0.13*U23)+(0.08*U148)+(0.32*U149)+(0.1*U150)</f>
        <v>5.016</v>
      </c>
      <c r="V154" s="1">
        <f>U154*25000</f>
        <v>125400</v>
      </c>
      <c r="Y154" s="2" t="s">
        <v>13</v>
      </c>
      <c r="Z154" s="1" t="s">
        <v>14</v>
      </c>
      <c r="AA154" s="5">
        <f>(0.2*AA146)+(0.13*AA23)+(0.08*AA148)+(0.32*AA149)+(0.1*AA150)</f>
        <v>5.1159999999999997</v>
      </c>
      <c r="AB154" s="1">
        <f>AA154*25000</f>
        <v>127899.99999999999</v>
      </c>
    </row>
    <row r="155" spans="1:28" hidden="1" outlineLevel="1">
      <c r="A155" s="2" t="s">
        <v>19</v>
      </c>
      <c r="B155" s="2" t="s">
        <v>8</v>
      </c>
      <c r="C155" s="1">
        <f>21*1.75</f>
        <v>36.75</v>
      </c>
      <c r="D155" s="6">
        <f>10135*1.75*C155</f>
        <v>651807.1875</v>
      </c>
      <c r="E155" s="4"/>
      <c r="G155" s="2" t="s">
        <v>19</v>
      </c>
      <c r="H155" s="2" t="s">
        <v>8</v>
      </c>
      <c r="I155" s="1">
        <f>25*1.75</f>
        <v>43.75</v>
      </c>
      <c r="J155" s="6">
        <f>10135*1.75*I155</f>
        <v>775960.9375</v>
      </c>
      <c r="M155" s="2" t="s">
        <v>19</v>
      </c>
      <c r="N155" s="2" t="s">
        <v>8</v>
      </c>
      <c r="O155" s="1">
        <f>28*1.75</f>
        <v>49</v>
      </c>
      <c r="P155" s="6">
        <f>10135*1.75*O155</f>
        <v>869076.25</v>
      </c>
      <c r="S155" s="2" t="s">
        <v>19</v>
      </c>
      <c r="T155" s="2" t="s">
        <v>8</v>
      </c>
      <c r="U155" s="1">
        <f>31*1.75</f>
        <v>54.25</v>
      </c>
      <c r="V155" s="6">
        <f>10135*1.75*U155</f>
        <v>962191.5625</v>
      </c>
      <c r="Y155" s="2" t="s">
        <v>19</v>
      </c>
      <c r="Z155" s="2" t="s">
        <v>8</v>
      </c>
      <c r="AA155" s="1">
        <f>35*1.75</f>
        <v>61.25</v>
      </c>
      <c r="AB155" s="6">
        <f>10135*1.75*AA155</f>
        <v>1086345.3125</v>
      </c>
    </row>
    <row r="156" spans="1:28" hidden="1" outlineLevel="1">
      <c r="A156" s="2" t="s">
        <v>16</v>
      </c>
      <c r="B156" s="2" t="s">
        <v>10</v>
      </c>
      <c r="C156" s="1">
        <v>1</v>
      </c>
      <c r="D156" s="1">
        <v>180000</v>
      </c>
      <c r="E156" s="4"/>
      <c r="G156" s="2" t="s">
        <v>16</v>
      </c>
      <c r="H156" s="2" t="s">
        <v>10</v>
      </c>
      <c r="I156" s="1">
        <v>1</v>
      </c>
      <c r="J156" s="1">
        <v>180000</v>
      </c>
      <c r="M156" s="2" t="s">
        <v>16</v>
      </c>
      <c r="N156" s="2" t="s">
        <v>10</v>
      </c>
      <c r="O156" s="1">
        <v>1</v>
      </c>
      <c r="P156" s="1">
        <v>180000</v>
      </c>
      <c r="S156" s="2" t="s">
        <v>16</v>
      </c>
      <c r="T156" s="2" t="s">
        <v>10</v>
      </c>
      <c r="U156" s="1">
        <v>1</v>
      </c>
      <c r="V156" s="1">
        <v>180000</v>
      </c>
      <c r="Y156" s="2" t="s">
        <v>16</v>
      </c>
      <c r="Z156" s="2" t="s">
        <v>10</v>
      </c>
      <c r="AA156" s="1">
        <v>1</v>
      </c>
      <c r="AB156" s="1">
        <v>180000</v>
      </c>
    </row>
    <row r="157" spans="1:28" hidden="1" outlineLevel="1">
      <c r="A157" s="2" t="s">
        <v>17</v>
      </c>
      <c r="B157" s="2" t="s">
        <v>10</v>
      </c>
      <c r="C157" s="1"/>
      <c r="D157" s="7">
        <v>871000</v>
      </c>
      <c r="E157" s="22"/>
      <c r="G157" s="2" t="s">
        <v>17</v>
      </c>
      <c r="H157" s="2" t="s">
        <v>10</v>
      </c>
      <c r="I157" s="1"/>
      <c r="J157" s="7">
        <v>871000</v>
      </c>
      <c r="M157" s="2" t="s">
        <v>17</v>
      </c>
      <c r="N157" s="2" t="s">
        <v>10</v>
      </c>
      <c r="O157" s="1"/>
      <c r="P157" s="7">
        <v>871000</v>
      </c>
      <c r="S157" s="2" t="s">
        <v>17</v>
      </c>
      <c r="T157" s="2" t="s">
        <v>10</v>
      </c>
      <c r="U157" s="1"/>
      <c r="V157" s="7">
        <v>871000</v>
      </c>
      <c r="Y157" s="2" t="s">
        <v>17</v>
      </c>
      <c r="Z157" s="2" t="s">
        <v>10</v>
      </c>
      <c r="AA157" s="1"/>
      <c r="AB157" s="7">
        <v>871000</v>
      </c>
    </row>
    <row r="158" spans="1:28" hidden="1" outlineLevel="1">
      <c r="A158" s="2" t="s">
        <v>48</v>
      </c>
      <c r="B158" s="10" t="s">
        <v>50</v>
      </c>
      <c r="C158" s="1"/>
      <c r="D158" s="1">
        <f>SUM(D146:D157)</f>
        <v>4902208.0748075005</v>
      </c>
      <c r="E158" s="4"/>
      <c r="G158" s="2" t="s">
        <v>48</v>
      </c>
      <c r="H158" s="10" t="s">
        <v>50</v>
      </c>
      <c r="I158" s="1"/>
      <c r="J158" s="1">
        <f>SUM(J146:J157)</f>
        <v>5056493.1327541666</v>
      </c>
      <c r="M158" s="2" t="s">
        <v>48</v>
      </c>
      <c r="N158" s="10" t="s">
        <v>50</v>
      </c>
      <c r="O158" s="1"/>
      <c r="P158" s="1">
        <f>SUM(P146:P157)</f>
        <v>5177683.3225874994</v>
      </c>
      <c r="S158" s="2" t="s">
        <v>48</v>
      </c>
      <c r="T158" s="10" t="s">
        <v>50</v>
      </c>
      <c r="U158" s="1"/>
      <c r="V158" s="1">
        <f>SUM(V146:V157)</f>
        <v>5282095.5874875002</v>
      </c>
      <c r="Y158" s="2" t="s">
        <v>48</v>
      </c>
      <c r="Z158" s="10" t="s">
        <v>50</v>
      </c>
      <c r="AA158" s="1"/>
      <c r="AB158" s="1">
        <f>SUM(AB146:AB157)</f>
        <v>5369651.4110874999</v>
      </c>
    </row>
    <row r="159" spans="1:28" hidden="1" outlineLevel="1">
      <c r="A159" s="2" t="s">
        <v>49</v>
      </c>
      <c r="B159" s="10" t="s">
        <v>51</v>
      </c>
      <c r="C159" s="1">
        <v>1.7</v>
      </c>
      <c r="D159" s="1">
        <f>D158*C159</f>
        <v>8333753.727172751</v>
      </c>
      <c r="E159" s="4"/>
      <c r="G159" s="2" t="s">
        <v>49</v>
      </c>
      <c r="H159" s="10" t="s">
        <v>51</v>
      </c>
      <c r="I159" s="1">
        <v>1.7</v>
      </c>
      <c r="J159" s="1">
        <f>J158*I159</f>
        <v>8596038.3256820831</v>
      </c>
      <c r="M159" s="2" t="s">
        <v>49</v>
      </c>
      <c r="N159" s="10" t="s">
        <v>51</v>
      </c>
      <c r="O159" s="1">
        <v>1.7</v>
      </c>
      <c r="P159" s="1">
        <f>P158*O159</f>
        <v>8802061.6483987495</v>
      </c>
      <c r="S159" s="2" t="s">
        <v>49</v>
      </c>
      <c r="T159" s="10" t="s">
        <v>51</v>
      </c>
      <c r="U159" s="1">
        <v>1.75</v>
      </c>
      <c r="V159" s="1">
        <f>V158*U159</f>
        <v>9243667.2781031244</v>
      </c>
      <c r="Y159" s="2" t="s">
        <v>49</v>
      </c>
      <c r="Z159" s="10" t="s">
        <v>51</v>
      </c>
      <c r="AA159" s="1">
        <v>1.8</v>
      </c>
      <c r="AB159" s="1">
        <f>AB158*AA159</f>
        <v>9665372.539957501</v>
      </c>
    </row>
    <row r="160" spans="1:28" hidden="1" outlineLevel="1">
      <c r="A160" s="2" t="s">
        <v>52</v>
      </c>
      <c r="B160" s="10" t="s">
        <v>51</v>
      </c>
      <c r="C160" s="2">
        <v>20</v>
      </c>
      <c r="D160" s="1">
        <f>D159*0.2</f>
        <v>1666750.7454345503</v>
      </c>
      <c r="G160" s="2" t="s">
        <v>52</v>
      </c>
      <c r="H160" s="10" t="s">
        <v>51</v>
      </c>
      <c r="I160" s="2">
        <v>20</v>
      </c>
      <c r="J160" s="1">
        <f>J159*0.2</f>
        <v>1719207.6651364167</v>
      </c>
      <c r="M160" s="2" t="s">
        <v>52</v>
      </c>
      <c r="N160" s="10" t="s">
        <v>51</v>
      </c>
      <c r="O160" s="2">
        <v>20</v>
      </c>
      <c r="P160" s="1">
        <f>P159*0.2</f>
        <v>1760412.3296797499</v>
      </c>
      <c r="S160" s="2" t="s">
        <v>52</v>
      </c>
      <c r="T160" s="10" t="s">
        <v>51</v>
      </c>
      <c r="U160" s="2">
        <v>20</v>
      </c>
      <c r="V160" s="1">
        <f>V159*0.2</f>
        <v>1848733.4556206251</v>
      </c>
      <c r="Y160" s="2" t="s">
        <v>52</v>
      </c>
      <c r="Z160" s="10" t="s">
        <v>51</v>
      </c>
      <c r="AA160" s="2">
        <v>20</v>
      </c>
      <c r="AB160" s="1">
        <f>AB159*0.2</f>
        <v>1933074.5079915002</v>
      </c>
    </row>
    <row r="161" spans="1:28" collapsed="1">
      <c r="A161" s="2" t="s">
        <v>53</v>
      </c>
      <c r="B161" s="10"/>
      <c r="C161" s="1"/>
      <c r="D161" s="15">
        <f>D159+D160</f>
        <v>10000504.472607302</v>
      </c>
      <c r="G161" s="2" t="s">
        <v>53</v>
      </c>
      <c r="H161" s="10"/>
      <c r="I161" s="1"/>
      <c r="J161" s="15">
        <f>J159+J160</f>
        <v>10315245.990818501</v>
      </c>
      <c r="M161" s="2" t="s">
        <v>53</v>
      </c>
      <c r="N161" s="10"/>
      <c r="O161" s="1"/>
      <c r="P161" s="15">
        <f>P159+P160</f>
        <v>10562473.978078499</v>
      </c>
      <c r="S161" s="2" t="s">
        <v>53</v>
      </c>
      <c r="T161" s="10"/>
      <c r="U161" s="1"/>
      <c r="V161" s="15">
        <f>V159+V160</f>
        <v>11092400.733723748</v>
      </c>
      <c r="Y161" s="2" t="s">
        <v>53</v>
      </c>
      <c r="Z161" s="10"/>
      <c r="AA161" s="1"/>
      <c r="AB161" s="15">
        <f>AB159+AB160</f>
        <v>11598447.047949001</v>
      </c>
    </row>
    <row r="167" spans="1:28">
      <c r="A167" s="1" t="s">
        <v>44</v>
      </c>
      <c r="B167" s="20" t="s">
        <v>62</v>
      </c>
      <c r="C167" s="20"/>
      <c r="D167" s="20"/>
      <c r="E167" s="20"/>
      <c r="G167" s="1" t="s">
        <v>45</v>
      </c>
      <c r="M167" s="1" t="s">
        <v>46</v>
      </c>
      <c r="S167" s="1" t="s">
        <v>47</v>
      </c>
      <c r="Y167" s="1" t="s">
        <v>59</v>
      </c>
    </row>
    <row r="168" spans="1:28">
      <c r="A168" s="19" t="s">
        <v>0</v>
      </c>
      <c r="B168" s="24" t="s">
        <v>1</v>
      </c>
      <c r="C168" s="24" t="s">
        <v>2</v>
      </c>
      <c r="D168" s="24" t="s">
        <v>3</v>
      </c>
      <c r="E168" s="23"/>
      <c r="G168" s="19" t="s">
        <v>0</v>
      </c>
      <c r="H168" s="19" t="s">
        <v>1</v>
      </c>
      <c r="I168" s="19" t="s">
        <v>2</v>
      </c>
      <c r="J168" s="19" t="s">
        <v>3</v>
      </c>
      <c r="M168" s="19" t="s">
        <v>0</v>
      </c>
      <c r="N168" s="19" t="s">
        <v>1</v>
      </c>
      <c r="O168" s="19" t="s">
        <v>2</v>
      </c>
      <c r="P168" s="19" t="s">
        <v>3</v>
      </c>
      <c r="S168" s="19" t="s">
        <v>0</v>
      </c>
      <c r="T168" s="19" t="s">
        <v>1</v>
      </c>
      <c r="U168" s="19" t="s">
        <v>2</v>
      </c>
      <c r="V168" s="19" t="s">
        <v>3</v>
      </c>
      <c r="Y168" s="19" t="s">
        <v>0</v>
      </c>
      <c r="Z168" s="19" t="s">
        <v>1</v>
      </c>
      <c r="AA168" s="19" t="s">
        <v>2</v>
      </c>
      <c r="AB168" s="19" t="s">
        <v>3</v>
      </c>
    </row>
    <row r="169" spans="1:28" hidden="1" outlineLevel="1">
      <c r="A169" s="1" t="s">
        <v>4</v>
      </c>
      <c r="B169" s="1" t="s">
        <v>8</v>
      </c>
      <c r="C169" s="1">
        <v>11</v>
      </c>
      <c r="D169" s="1">
        <f>9354680/1.2/1000*2.96*C169+(28000*2)</f>
        <v>309823.65066666668</v>
      </c>
      <c r="E169" s="4"/>
      <c r="G169" s="1" t="s">
        <v>4</v>
      </c>
      <c r="H169" s="1" t="s">
        <v>8</v>
      </c>
      <c r="I169" s="1">
        <v>11.5</v>
      </c>
      <c r="J169" s="1">
        <f>9354680/1.2/1000*2.96*I169+(28000*2)</f>
        <v>321361.08933333337</v>
      </c>
      <c r="M169" s="1" t="s">
        <v>4</v>
      </c>
      <c r="N169" s="1" t="s">
        <v>8</v>
      </c>
      <c r="O169" s="1">
        <v>12.5</v>
      </c>
      <c r="P169" s="1">
        <f>9354680/1.2/1000*2.96*O169+(28000*2)</f>
        <v>344435.96666666667</v>
      </c>
      <c r="S169" s="1" t="s">
        <v>4</v>
      </c>
      <c r="T169" s="1" t="s">
        <v>8</v>
      </c>
      <c r="U169" s="1">
        <v>12.5</v>
      </c>
      <c r="V169" s="1">
        <f>9354680/1.2/1000*2.96*U169+(28000*2)</f>
        <v>344435.96666666667</v>
      </c>
      <c r="Y169" s="1" t="s">
        <v>4</v>
      </c>
      <c r="Z169" s="1" t="s">
        <v>8</v>
      </c>
      <c r="AA169" s="1">
        <v>13</v>
      </c>
      <c r="AB169" s="1">
        <f>9354680/1.2/1000*2.96*AA169</f>
        <v>299973.40533333336</v>
      </c>
    </row>
    <row r="170" spans="1:28" hidden="1" outlineLevel="1">
      <c r="A170" s="1" t="s">
        <v>5</v>
      </c>
      <c r="B170" s="1" t="s">
        <v>8</v>
      </c>
      <c r="C170" s="1">
        <v>4.8</v>
      </c>
      <c r="D170" s="1">
        <f>10874266/1.2/1000*1.48*C170</f>
        <v>64375.654720000006</v>
      </c>
      <c r="E170" s="4"/>
      <c r="G170" s="1" t="s">
        <v>5</v>
      </c>
      <c r="H170" s="1" t="s">
        <v>8</v>
      </c>
      <c r="I170" s="1">
        <v>6</v>
      </c>
      <c r="J170" s="1">
        <f>10874260/1.2/1000*1.48*I170</f>
        <v>80469.524000000005</v>
      </c>
      <c r="M170" s="1" t="s">
        <v>5</v>
      </c>
      <c r="N170" s="1" t="s">
        <v>8</v>
      </c>
      <c r="O170" s="1">
        <v>6</v>
      </c>
      <c r="P170" s="1">
        <f>10874260/1.2/1000*1.48*O170</f>
        <v>80469.524000000005</v>
      </c>
      <c r="S170" s="1" t="s">
        <v>5</v>
      </c>
      <c r="T170" s="1" t="s">
        <v>8</v>
      </c>
      <c r="U170" s="1">
        <v>6.6</v>
      </c>
      <c r="V170" s="1">
        <f>10874260/1.2/1000*1.48*U170</f>
        <v>88516.4764</v>
      </c>
      <c r="Y170" s="1" t="s">
        <v>5</v>
      </c>
      <c r="Z170" s="1" t="s">
        <v>8</v>
      </c>
      <c r="AA170" s="1">
        <v>7</v>
      </c>
      <c r="AB170" s="1">
        <f>10874260/1.2/1000*1.48*AA170</f>
        <v>93881.111333333334</v>
      </c>
    </row>
    <row r="171" spans="1:28" hidden="1" outlineLevel="1">
      <c r="A171" s="1" t="s">
        <v>6</v>
      </c>
      <c r="B171" s="1" t="s">
        <v>8</v>
      </c>
      <c r="C171" s="1"/>
      <c r="D171" s="1">
        <f>9351600/1.2/1000*1.08*C171</f>
        <v>0</v>
      </c>
      <c r="E171" s="4"/>
      <c r="G171" s="1" t="s">
        <v>6</v>
      </c>
      <c r="H171" s="1" t="s">
        <v>8</v>
      </c>
      <c r="I171" s="1"/>
      <c r="J171" s="1">
        <f>9351600/1.2/1000*1.08*I171</f>
        <v>0</v>
      </c>
      <c r="M171" s="1" t="s">
        <v>6</v>
      </c>
      <c r="N171" s="1" t="s">
        <v>8</v>
      </c>
      <c r="O171" s="1"/>
      <c r="P171" s="1">
        <f>9351600/1.2/1000*1.08*O171</f>
        <v>0</v>
      </c>
      <c r="S171" s="1" t="s">
        <v>6</v>
      </c>
      <c r="T171" s="1" t="s">
        <v>8</v>
      </c>
      <c r="U171" s="1"/>
      <c r="V171" s="1">
        <f>9351600/1.2/1000*1.08*U171</f>
        <v>0</v>
      </c>
      <c r="Y171" s="1" t="s">
        <v>6</v>
      </c>
      <c r="Z171" s="1" t="s">
        <v>8</v>
      </c>
      <c r="AA171" s="1"/>
      <c r="AB171" s="1">
        <f>9351600/1.2/1000*1.08*AA171</f>
        <v>0</v>
      </c>
    </row>
    <row r="172" spans="1:28" hidden="1" outlineLevel="1">
      <c r="A172" s="1" t="s">
        <v>7</v>
      </c>
      <c r="B172" s="1" t="s">
        <v>8</v>
      </c>
      <c r="C172" s="1">
        <v>2.0499999999999998</v>
      </c>
      <c r="D172" s="1">
        <f>9819170/1.2/1000*7.13*C172</f>
        <v>119601.58192083334</v>
      </c>
      <c r="E172" s="4"/>
      <c r="G172" s="1" t="s">
        <v>7</v>
      </c>
      <c r="H172" s="1" t="s">
        <v>8</v>
      </c>
      <c r="I172" s="1">
        <v>2.0499999999999998</v>
      </c>
      <c r="J172" s="1">
        <f>9819170/1.2/1000*7.13*I172</f>
        <v>119601.58192083334</v>
      </c>
      <c r="M172" s="1" t="s">
        <v>7</v>
      </c>
      <c r="N172" s="1" t="s">
        <v>8</v>
      </c>
      <c r="O172" s="1">
        <v>2.0499999999999998</v>
      </c>
      <c r="P172" s="1">
        <f>9819170/1.2/1000*7.13*O172</f>
        <v>119601.58192083334</v>
      </c>
      <c r="S172" s="1" t="s">
        <v>7</v>
      </c>
      <c r="T172" s="1" t="s">
        <v>8</v>
      </c>
      <c r="U172" s="1">
        <v>2.0499999999999998</v>
      </c>
      <c r="V172" s="1">
        <f>9819170/1.2/1000*7.13*U172</f>
        <v>119601.58192083334</v>
      </c>
      <c r="Y172" s="1" t="s">
        <v>7</v>
      </c>
      <c r="Z172" s="1" t="s">
        <v>8</v>
      </c>
      <c r="AA172" s="1">
        <v>2.0499999999999998</v>
      </c>
      <c r="AB172" s="1">
        <f>9819170/1.2/1000*7.13*AA172</f>
        <v>119601.58192083334</v>
      </c>
    </row>
    <row r="173" spans="1:28" hidden="1" outlineLevel="1">
      <c r="A173" s="1" t="s">
        <v>20</v>
      </c>
      <c r="B173" s="1" t="s">
        <v>8</v>
      </c>
      <c r="C173" s="1">
        <v>4.3</v>
      </c>
      <c r="D173" s="1">
        <f>C173*16500</f>
        <v>70950</v>
      </c>
      <c r="E173" s="4"/>
      <c r="G173" s="1" t="s">
        <v>20</v>
      </c>
      <c r="H173" s="1" t="s">
        <v>8</v>
      </c>
      <c r="I173" s="1">
        <v>4.3</v>
      </c>
      <c r="J173" s="1">
        <f>I173*16500</f>
        <v>70950</v>
      </c>
      <c r="M173" s="1" t="s">
        <v>20</v>
      </c>
      <c r="N173" s="1" t="s">
        <v>8</v>
      </c>
      <c r="O173" s="1">
        <v>4.3</v>
      </c>
      <c r="P173" s="1">
        <f>O173*16500</f>
        <v>70950</v>
      </c>
      <c r="S173" s="1" t="s">
        <v>20</v>
      </c>
      <c r="T173" s="1" t="s">
        <v>8</v>
      </c>
      <c r="U173" s="1">
        <v>4.3</v>
      </c>
      <c r="V173" s="1">
        <f>U173*16500</f>
        <v>70950</v>
      </c>
      <c r="Y173" s="1" t="s">
        <v>20</v>
      </c>
      <c r="Z173" s="1" t="s">
        <v>8</v>
      </c>
      <c r="AA173" s="1">
        <v>4.3</v>
      </c>
      <c r="AB173" s="1">
        <f>AA173*16500</f>
        <v>70950</v>
      </c>
    </row>
    <row r="174" spans="1:28" hidden="1" outlineLevel="1">
      <c r="A174" s="2" t="s">
        <v>9</v>
      </c>
      <c r="B174" s="2" t="s">
        <v>10</v>
      </c>
      <c r="C174" s="1">
        <v>1</v>
      </c>
      <c r="D174" s="1">
        <f>2076000/1.2</f>
        <v>1730000</v>
      </c>
      <c r="E174" s="4"/>
      <c r="G174" s="2" t="s">
        <v>9</v>
      </c>
      <c r="H174" s="2" t="s">
        <v>10</v>
      </c>
      <c r="I174" s="1">
        <v>1</v>
      </c>
      <c r="J174" s="1">
        <f>2076000/1.2</f>
        <v>1730000</v>
      </c>
      <c r="M174" s="2" t="s">
        <v>9</v>
      </c>
      <c r="N174" s="2" t="s">
        <v>10</v>
      </c>
      <c r="O174" s="1">
        <v>1</v>
      </c>
      <c r="P174" s="1">
        <f>2076000/1.2</f>
        <v>1730000</v>
      </c>
      <c r="S174" s="2" t="s">
        <v>9</v>
      </c>
      <c r="T174" s="2" t="s">
        <v>10</v>
      </c>
      <c r="U174" s="1">
        <v>1</v>
      </c>
      <c r="V174" s="1">
        <f>2076000/1.2</f>
        <v>1730000</v>
      </c>
      <c r="Y174" s="2" t="s">
        <v>9</v>
      </c>
      <c r="Z174" s="2" t="s">
        <v>10</v>
      </c>
      <c r="AA174" s="1">
        <v>1</v>
      </c>
      <c r="AB174" s="1">
        <f>2076000/1.2</f>
        <v>1730000</v>
      </c>
    </row>
    <row r="175" spans="1:28" hidden="1" outlineLevel="1">
      <c r="A175" s="2" t="s">
        <v>11</v>
      </c>
      <c r="B175" s="3"/>
      <c r="C175" s="5"/>
      <c r="D175" s="7">
        <v>120000</v>
      </c>
      <c r="E175" s="22"/>
      <c r="G175" s="2" t="s">
        <v>11</v>
      </c>
      <c r="H175" s="3"/>
      <c r="I175" s="5"/>
      <c r="J175" s="7">
        <v>120000</v>
      </c>
      <c r="M175" s="2" t="s">
        <v>11</v>
      </c>
      <c r="N175" s="3"/>
      <c r="O175" s="5"/>
      <c r="P175" s="7">
        <v>120000</v>
      </c>
      <c r="S175" s="2" t="s">
        <v>11</v>
      </c>
      <c r="T175" s="3"/>
      <c r="U175" s="5"/>
      <c r="V175" s="7">
        <v>120000</v>
      </c>
      <c r="Y175" s="2" t="s">
        <v>11</v>
      </c>
      <c r="Z175" s="3"/>
      <c r="AA175" s="5"/>
      <c r="AB175" s="7">
        <v>120000</v>
      </c>
    </row>
    <row r="176" spans="1:28" hidden="1" outlineLevel="1">
      <c r="A176" s="2" t="s">
        <v>12</v>
      </c>
      <c r="B176" s="3"/>
      <c r="C176" s="5"/>
      <c r="D176" s="7">
        <v>670000</v>
      </c>
      <c r="E176" s="22"/>
      <c r="G176" s="2" t="s">
        <v>12</v>
      </c>
      <c r="H176" s="3"/>
      <c r="I176" s="5"/>
      <c r="J176" s="7">
        <v>670000</v>
      </c>
      <c r="M176" s="2" t="s">
        <v>12</v>
      </c>
      <c r="N176" s="3"/>
      <c r="O176" s="5"/>
      <c r="P176" s="7">
        <v>670000</v>
      </c>
      <c r="S176" s="2" t="s">
        <v>12</v>
      </c>
      <c r="T176" s="3"/>
      <c r="U176" s="5"/>
      <c r="V176" s="7">
        <v>670000</v>
      </c>
      <c r="Y176" s="2" t="s">
        <v>12</v>
      </c>
      <c r="Z176" s="3"/>
      <c r="AA176" s="5"/>
      <c r="AB176" s="7">
        <v>670000</v>
      </c>
    </row>
    <row r="177" spans="1:28" hidden="1" outlineLevel="1">
      <c r="A177" s="2" t="s">
        <v>13</v>
      </c>
      <c r="B177" s="1" t="s">
        <v>14</v>
      </c>
      <c r="C177" s="5">
        <f>(0.2*C169)+(0.13*C23)+(0.08*C171)+(0.32*C172)+(0.1*C173)</f>
        <v>4.5859999999999994</v>
      </c>
      <c r="D177" s="1">
        <f>C177*25000</f>
        <v>114649.99999999999</v>
      </c>
      <c r="E177" s="4"/>
      <c r="G177" s="2" t="s">
        <v>13</v>
      </c>
      <c r="H177" s="1" t="s">
        <v>14</v>
      </c>
      <c r="I177" s="5">
        <f>(0.2*I169)+(0.13*I23)+(0.08*I171)+(0.32*I172)+(0.1*I173)</f>
        <v>4.6859999999999999</v>
      </c>
      <c r="J177" s="1">
        <f>I177*25000</f>
        <v>117150</v>
      </c>
      <c r="M177" s="2" t="s">
        <v>13</v>
      </c>
      <c r="N177" s="1" t="s">
        <v>14</v>
      </c>
      <c r="O177" s="5">
        <f>(0.2*O169)+(0.13*O23)+(0.08*O171)+(0.32*O172)+(0.1*O173)</f>
        <v>4.8859999999999992</v>
      </c>
      <c r="P177" s="1">
        <f>O177*25000</f>
        <v>122149.99999999999</v>
      </c>
      <c r="S177" s="2" t="s">
        <v>13</v>
      </c>
      <c r="T177" s="1" t="s">
        <v>14</v>
      </c>
      <c r="U177" s="5">
        <f>(0.2*U169)+(0.13*U23)+(0.08*U171)+(0.32*U172)+(0.1*U173)</f>
        <v>5.016</v>
      </c>
      <c r="V177" s="1">
        <f>U177*25000</f>
        <v>125400</v>
      </c>
      <c r="Y177" s="2" t="s">
        <v>13</v>
      </c>
      <c r="Z177" s="1" t="s">
        <v>14</v>
      </c>
      <c r="AA177" s="5">
        <f>(0.2*AA169)+(0.13*AA23)+(0.08*AA171)+(0.32*AA172)+(0.1*AA173)</f>
        <v>5.1159999999999997</v>
      </c>
      <c r="AB177" s="1">
        <f>AA177*25000</f>
        <v>127899.99999999999</v>
      </c>
    </row>
    <row r="178" spans="1:28" hidden="1" outlineLevel="1">
      <c r="A178" s="2" t="s">
        <v>19</v>
      </c>
      <c r="B178" s="2" t="s">
        <v>8</v>
      </c>
      <c r="C178" s="1">
        <f>21*1.75</f>
        <v>36.75</v>
      </c>
      <c r="D178" s="6">
        <f>10300*1.75*C178</f>
        <v>662418.75</v>
      </c>
      <c r="E178" s="4"/>
      <c r="G178" s="2" t="s">
        <v>19</v>
      </c>
      <c r="H178" s="2" t="s">
        <v>8</v>
      </c>
      <c r="I178" s="1">
        <f>25*1.75</f>
        <v>43.75</v>
      </c>
      <c r="J178" s="6">
        <f>10300*1.75*I178</f>
        <v>788593.75</v>
      </c>
      <c r="M178" s="2" t="s">
        <v>19</v>
      </c>
      <c r="N178" s="2" t="s">
        <v>8</v>
      </c>
      <c r="O178" s="1">
        <f>28*1.75</f>
        <v>49</v>
      </c>
      <c r="P178" s="6">
        <f>10300*1.75*O178</f>
        <v>883225</v>
      </c>
      <c r="S178" s="2" t="s">
        <v>19</v>
      </c>
      <c r="T178" s="2" t="s">
        <v>8</v>
      </c>
      <c r="U178" s="1">
        <f>32*1.75</f>
        <v>56</v>
      </c>
      <c r="V178" s="6">
        <f>10300*1.75*U178</f>
        <v>1009400</v>
      </c>
      <c r="Y178" s="2" t="s">
        <v>19</v>
      </c>
      <c r="Z178" s="2" t="s">
        <v>8</v>
      </c>
      <c r="AA178" s="1">
        <f>35*1.75</f>
        <v>61.25</v>
      </c>
      <c r="AB178" s="6">
        <f>10000*1.75*AA178</f>
        <v>1071875</v>
      </c>
    </row>
    <row r="179" spans="1:28" hidden="1" outlineLevel="1">
      <c r="A179" s="2" t="s">
        <v>16</v>
      </c>
      <c r="B179" s="2" t="s">
        <v>10</v>
      </c>
      <c r="C179" s="1">
        <v>1</v>
      </c>
      <c r="D179" s="1">
        <v>180000</v>
      </c>
      <c r="E179" s="4"/>
      <c r="G179" s="2" t="s">
        <v>16</v>
      </c>
      <c r="H179" s="2" t="s">
        <v>10</v>
      </c>
      <c r="I179" s="1">
        <v>1</v>
      </c>
      <c r="J179" s="1">
        <v>180000</v>
      </c>
      <c r="M179" s="2" t="s">
        <v>16</v>
      </c>
      <c r="N179" s="2" t="s">
        <v>10</v>
      </c>
      <c r="O179" s="1">
        <v>1</v>
      </c>
      <c r="P179" s="1">
        <v>180000</v>
      </c>
      <c r="S179" s="2" t="s">
        <v>16</v>
      </c>
      <c r="T179" s="2" t="s">
        <v>10</v>
      </c>
      <c r="U179" s="1">
        <v>1</v>
      </c>
      <c r="V179" s="1">
        <v>180000</v>
      </c>
      <c r="Y179" s="2" t="s">
        <v>16</v>
      </c>
      <c r="Z179" s="2" t="s">
        <v>10</v>
      </c>
      <c r="AA179" s="1">
        <v>1</v>
      </c>
      <c r="AB179" s="1">
        <v>180000</v>
      </c>
    </row>
    <row r="180" spans="1:28" hidden="1" outlineLevel="1">
      <c r="A180" s="2" t="s">
        <v>17</v>
      </c>
      <c r="B180" s="2" t="s">
        <v>10</v>
      </c>
      <c r="C180" s="1"/>
      <c r="D180" s="7">
        <v>871000</v>
      </c>
      <c r="E180" s="22"/>
      <c r="G180" s="2" t="s">
        <v>17</v>
      </c>
      <c r="H180" s="2" t="s">
        <v>10</v>
      </c>
      <c r="I180" s="1"/>
      <c r="J180" s="7">
        <v>871000</v>
      </c>
      <c r="M180" s="2" t="s">
        <v>17</v>
      </c>
      <c r="N180" s="2" t="s">
        <v>10</v>
      </c>
      <c r="O180" s="1"/>
      <c r="P180" s="7">
        <v>871000</v>
      </c>
      <c r="S180" s="2" t="s">
        <v>17</v>
      </c>
      <c r="T180" s="2" t="s">
        <v>10</v>
      </c>
      <c r="U180" s="1"/>
      <c r="V180" s="7">
        <v>871000</v>
      </c>
      <c r="Y180" s="2" t="s">
        <v>17</v>
      </c>
      <c r="Z180" s="2" t="s">
        <v>10</v>
      </c>
      <c r="AA180" s="1"/>
      <c r="AB180" s="7">
        <v>871000</v>
      </c>
    </row>
    <row r="181" spans="1:28" hidden="1" outlineLevel="1">
      <c r="A181" s="2" t="s">
        <v>48</v>
      </c>
      <c r="B181" s="10" t="s">
        <v>50</v>
      </c>
      <c r="C181" s="1"/>
      <c r="D181" s="1">
        <f>SUM(D169:D180)</f>
        <v>4912819.6373075005</v>
      </c>
      <c r="E181" s="4"/>
      <c r="G181" s="2" t="s">
        <v>48</v>
      </c>
      <c r="H181" s="10" t="s">
        <v>50</v>
      </c>
      <c r="I181" s="1"/>
      <c r="J181" s="1">
        <f>SUM(J169:J180)</f>
        <v>5069125.9452541666</v>
      </c>
      <c r="M181" s="2" t="s">
        <v>48</v>
      </c>
      <c r="N181" s="10" t="s">
        <v>50</v>
      </c>
      <c r="O181" s="1"/>
      <c r="P181" s="1">
        <f>SUM(P169:P180)</f>
        <v>5191832.0725874994</v>
      </c>
      <c r="S181" s="2" t="s">
        <v>48</v>
      </c>
      <c r="T181" s="10" t="s">
        <v>50</v>
      </c>
      <c r="U181" s="1"/>
      <c r="V181" s="1">
        <f>SUM(V169:V180)</f>
        <v>5329304.0249875002</v>
      </c>
      <c r="Y181" s="2" t="s">
        <v>48</v>
      </c>
      <c r="Z181" s="10" t="s">
        <v>50</v>
      </c>
      <c r="AA181" s="1"/>
      <c r="AB181" s="1">
        <f>SUM(AB169:AB180)</f>
        <v>5355181.0985874999</v>
      </c>
    </row>
    <row r="182" spans="1:28" hidden="1" outlineLevel="1">
      <c r="A182" s="2" t="s">
        <v>49</v>
      </c>
      <c r="B182" s="10" t="s">
        <v>51</v>
      </c>
      <c r="C182" s="1">
        <v>1.7</v>
      </c>
      <c r="D182" s="1">
        <f>D181*C182</f>
        <v>8351793.383422751</v>
      </c>
      <c r="E182" s="4"/>
      <c r="G182" s="2" t="s">
        <v>49</v>
      </c>
      <c r="H182" s="10" t="s">
        <v>51</v>
      </c>
      <c r="I182" s="1">
        <v>1.7</v>
      </c>
      <c r="J182" s="1">
        <f>J181*I182</f>
        <v>8617514.1069320831</v>
      </c>
      <c r="M182" s="2" t="s">
        <v>49</v>
      </c>
      <c r="N182" s="10" t="s">
        <v>51</v>
      </c>
      <c r="O182" s="1">
        <v>1.7</v>
      </c>
      <c r="P182" s="1">
        <f>P181*O182</f>
        <v>8826114.5233987495</v>
      </c>
      <c r="S182" s="2" t="s">
        <v>49</v>
      </c>
      <c r="T182" s="10" t="s">
        <v>51</v>
      </c>
      <c r="U182" s="1">
        <v>1.75</v>
      </c>
      <c r="V182" s="1">
        <f>V181*U182</f>
        <v>9326282.0437281244</v>
      </c>
      <c r="Y182" s="2" t="s">
        <v>49</v>
      </c>
      <c r="Z182" s="10" t="s">
        <v>51</v>
      </c>
      <c r="AA182" s="1">
        <v>1.8</v>
      </c>
      <c r="AB182" s="1">
        <f>AB181*AA182</f>
        <v>9639325.977457501</v>
      </c>
    </row>
    <row r="183" spans="1:28" hidden="1" outlineLevel="1">
      <c r="A183" s="2" t="s">
        <v>52</v>
      </c>
      <c r="B183" s="10" t="s">
        <v>51</v>
      </c>
      <c r="C183" s="2">
        <v>20</v>
      </c>
      <c r="D183" s="1">
        <f>D182*0.2</f>
        <v>1670358.6766845502</v>
      </c>
      <c r="E183" s="4"/>
      <c r="G183" s="2" t="s">
        <v>52</v>
      </c>
      <c r="H183" s="10" t="s">
        <v>51</v>
      </c>
      <c r="I183" s="2">
        <v>20</v>
      </c>
      <c r="J183" s="1">
        <f>J182*0.2</f>
        <v>1723502.8213864167</v>
      </c>
      <c r="M183" s="2" t="s">
        <v>52</v>
      </c>
      <c r="N183" s="10" t="s">
        <v>51</v>
      </c>
      <c r="O183" s="2">
        <v>20</v>
      </c>
      <c r="P183" s="1">
        <f>P182*0.2</f>
        <v>1765222.9046797501</v>
      </c>
      <c r="S183" s="2" t="s">
        <v>52</v>
      </c>
      <c r="T183" s="10" t="s">
        <v>51</v>
      </c>
      <c r="U183" s="2">
        <v>20</v>
      </c>
      <c r="V183" s="1">
        <f>V182*0.2</f>
        <v>1865256.4087456251</v>
      </c>
      <c r="Y183" s="2" t="s">
        <v>52</v>
      </c>
      <c r="Z183" s="10" t="s">
        <v>51</v>
      </c>
      <c r="AA183" s="2">
        <v>20</v>
      </c>
      <c r="AB183" s="1">
        <f>AB182*0.2</f>
        <v>1927865.1954915002</v>
      </c>
    </row>
    <row r="184" spans="1:28" collapsed="1">
      <c r="A184" s="2" t="s">
        <v>53</v>
      </c>
      <c r="B184" s="10"/>
      <c r="C184" s="1"/>
      <c r="D184" s="15">
        <f>D182+D183</f>
        <v>10022152.060107302</v>
      </c>
      <c r="E184" s="4"/>
      <c r="G184" s="2" t="s">
        <v>53</v>
      </c>
      <c r="H184" s="10"/>
      <c r="I184" s="1"/>
      <c r="J184" s="15">
        <f>J182+J183</f>
        <v>10341016.928318501</v>
      </c>
      <c r="M184" s="2" t="s">
        <v>53</v>
      </c>
      <c r="N184" s="10"/>
      <c r="O184" s="1"/>
      <c r="P184" s="15">
        <f>P182+P183</f>
        <v>10591337.428078499</v>
      </c>
      <c r="S184" s="2" t="s">
        <v>53</v>
      </c>
      <c r="T184" s="10"/>
      <c r="U184" s="1"/>
      <c r="V184" s="15">
        <f>V182+V183</f>
        <v>11191538.452473748</v>
      </c>
      <c r="Y184" s="2" t="s">
        <v>53</v>
      </c>
      <c r="Z184" s="10"/>
      <c r="AA184" s="1"/>
      <c r="AB184" s="15">
        <f>AB182+AB183</f>
        <v>11567191.172949001</v>
      </c>
    </row>
    <row r="185" spans="1:28">
      <c r="E185" s="4"/>
    </row>
    <row r="186" spans="1:28">
      <c r="E186" s="4"/>
    </row>
    <row r="187" spans="1:28">
      <c r="E187" t="s">
        <v>42</v>
      </c>
    </row>
    <row r="188" spans="1:28" ht="21">
      <c r="A188" s="1" t="s">
        <v>44</v>
      </c>
      <c r="B188" s="37" t="s">
        <v>55</v>
      </c>
      <c r="C188" s="5"/>
      <c r="D188" s="6"/>
      <c r="G188" s="1" t="s">
        <v>45</v>
      </c>
      <c r="M188" s="1" t="s">
        <v>46</v>
      </c>
      <c r="S188" s="1" t="s">
        <v>47</v>
      </c>
      <c r="Y188" s="1" t="s">
        <v>59</v>
      </c>
    </row>
    <row r="189" spans="1:28">
      <c r="A189" s="19" t="s">
        <v>0</v>
      </c>
      <c r="B189" s="24" t="s">
        <v>1</v>
      </c>
      <c r="C189" s="24" t="s">
        <v>2</v>
      </c>
      <c r="D189" s="24" t="s">
        <v>3</v>
      </c>
      <c r="G189" s="19" t="s">
        <v>0</v>
      </c>
      <c r="H189" s="19" t="s">
        <v>1</v>
      </c>
      <c r="I189" s="19" t="s">
        <v>2</v>
      </c>
      <c r="J189" s="19" t="s">
        <v>3</v>
      </c>
      <c r="M189" s="19" t="s">
        <v>0</v>
      </c>
      <c r="N189" s="19" t="s">
        <v>1</v>
      </c>
      <c r="O189" s="19" t="s">
        <v>2</v>
      </c>
      <c r="P189" s="19" t="s">
        <v>3</v>
      </c>
      <c r="S189" s="19" t="s">
        <v>0</v>
      </c>
      <c r="T189" s="19" t="s">
        <v>1</v>
      </c>
      <c r="U189" s="19" t="s">
        <v>2</v>
      </c>
      <c r="V189" s="19" t="s">
        <v>3</v>
      </c>
      <c r="Y189" s="19" t="s">
        <v>0</v>
      </c>
      <c r="Z189" s="19" t="s">
        <v>1</v>
      </c>
      <c r="AA189" s="19" t="s">
        <v>2</v>
      </c>
      <c r="AB189" s="19" t="s">
        <v>3</v>
      </c>
    </row>
    <row r="190" spans="1:28" hidden="1" outlineLevel="1">
      <c r="A190" s="1" t="s">
        <v>4</v>
      </c>
      <c r="B190" s="1" t="s">
        <v>8</v>
      </c>
      <c r="C190" s="1">
        <v>11</v>
      </c>
      <c r="D190" s="1">
        <f>9354680/1.2/1000*2.96*C190+(28000*2)</f>
        <v>309823.65066666668</v>
      </c>
      <c r="G190" s="1" t="s">
        <v>4</v>
      </c>
      <c r="H190" s="1" t="s">
        <v>8</v>
      </c>
      <c r="I190" s="1">
        <v>11.5</v>
      </c>
      <c r="J190" s="1">
        <f>9354680/1.2/1000*2.96*I190+(28000*2)</f>
        <v>321361.08933333337</v>
      </c>
      <c r="M190" s="1" t="s">
        <v>4</v>
      </c>
      <c r="N190" s="1" t="s">
        <v>8</v>
      </c>
      <c r="O190" s="1">
        <v>12.5</v>
      </c>
      <c r="P190" s="1">
        <f>9354680/1.2/1000*2.96*O190+(28000*2)</f>
        <v>344435.96666666667</v>
      </c>
      <c r="S190" s="1" t="s">
        <v>4</v>
      </c>
      <c r="T190" s="1" t="s">
        <v>8</v>
      </c>
      <c r="U190" s="1">
        <v>12.5</v>
      </c>
      <c r="V190" s="1">
        <f>9354680/1.2/1000*2.96*U190+(28000*2)</f>
        <v>344435.96666666667</v>
      </c>
      <c r="Y190" s="1" t="s">
        <v>4</v>
      </c>
      <c r="Z190" s="1" t="s">
        <v>8</v>
      </c>
      <c r="AA190" s="1">
        <v>13</v>
      </c>
      <c r="AB190" s="1">
        <f>9354680/1.2/1000*2.96*AA190+(28000*2)</f>
        <v>355973.40533333336</v>
      </c>
    </row>
    <row r="191" spans="1:28" hidden="1" outlineLevel="1">
      <c r="A191" s="1" t="s">
        <v>5</v>
      </c>
      <c r="B191" s="1" t="s">
        <v>8</v>
      </c>
      <c r="C191" s="1">
        <v>4.8</v>
      </c>
      <c r="D191" s="1">
        <f>10874266/1.2/1000*1.48*C191</f>
        <v>64375.654720000006</v>
      </c>
      <c r="G191" s="1" t="s">
        <v>5</v>
      </c>
      <c r="H191" s="1" t="s">
        <v>8</v>
      </c>
      <c r="I191" s="1">
        <v>6</v>
      </c>
      <c r="J191" s="1">
        <f>10874260/1.2/1000*1.48*I191</f>
        <v>80469.524000000005</v>
      </c>
      <c r="M191" s="1" t="s">
        <v>5</v>
      </c>
      <c r="N191" s="1" t="s">
        <v>8</v>
      </c>
      <c r="O191" s="1">
        <v>6</v>
      </c>
      <c r="P191" s="1">
        <f>10874260/1.2/1000*1.48*O191</f>
        <v>80469.524000000005</v>
      </c>
      <c r="S191" s="1" t="s">
        <v>5</v>
      </c>
      <c r="T191" s="1" t="s">
        <v>8</v>
      </c>
      <c r="U191" s="1">
        <v>6.6</v>
      </c>
      <c r="V191" s="1">
        <f>10874260/1.2/1000*1.48*U191</f>
        <v>88516.4764</v>
      </c>
      <c r="Y191" s="1" t="s">
        <v>5</v>
      </c>
      <c r="Z191" s="1" t="s">
        <v>8</v>
      </c>
      <c r="AA191" s="1">
        <v>7</v>
      </c>
      <c r="AB191" s="1">
        <f>10874260/1.2/1000*1.48*AA191</f>
        <v>93881.111333333334</v>
      </c>
    </row>
    <row r="192" spans="1:28" hidden="1" outlineLevel="1">
      <c r="A192" s="1" t="s">
        <v>6</v>
      </c>
      <c r="B192" s="1" t="s">
        <v>8</v>
      </c>
      <c r="C192" s="1"/>
      <c r="D192" s="1">
        <f>9351600/1.2/1000*1.08*C192</f>
        <v>0</v>
      </c>
      <c r="G192" s="1" t="s">
        <v>6</v>
      </c>
      <c r="H192" s="1" t="s">
        <v>8</v>
      </c>
      <c r="I192" s="1"/>
      <c r="J192" s="1">
        <f>9351600/1.2/1000*1.08*I192</f>
        <v>0</v>
      </c>
      <c r="M192" s="1" t="s">
        <v>6</v>
      </c>
      <c r="N192" s="1" t="s">
        <v>8</v>
      </c>
      <c r="O192" s="1"/>
      <c r="P192" s="1">
        <f>9351600/1.2/1000*1.08*O192</f>
        <v>0</v>
      </c>
      <c r="S192" s="1" t="s">
        <v>6</v>
      </c>
      <c r="T192" s="1" t="s">
        <v>8</v>
      </c>
      <c r="U192" s="1"/>
      <c r="V192" s="1">
        <f>9351600/1.2/1000*1.08*U192</f>
        <v>0</v>
      </c>
      <c r="Y192" s="1" t="s">
        <v>6</v>
      </c>
      <c r="Z192" s="1" t="s">
        <v>8</v>
      </c>
      <c r="AA192" s="1"/>
      <c r="AB192" s="1">
        <f>9351600/1.2/1000*1.08*AA192</f>
        <v>0</v>
      </c>
    </row>
    <row r="193" spans="1:28" hidden="1" outlineLevel="1">
      <c r="A193" s="1" t="s">
        <v>7</v>
      </c>
      <c r="B193" s="1" t="s">
        <v>8</v>
      </c>
      <c r="C193" s="1">
        <v>2.0499999999999998</v>
      </c>
      <c r="D193" s="1">
        <f>9819170/1.2/1000*7.13*C193</f>
        <v>119601.58192083334</v>
      </c>
      <c r="G193" s="1" t="s">
        <v>7</v>
      </c>
      <c r="H193" s="1" t="s">
        <v>8</v>
      </c>
      <c r="I193" s="1">
        <v>2.0499999999999998</v>
      </c>
      <c r="J193" s="1">
        <f>9819170/1.2/1000*7.13*I193</f>
        <v>119601.58192083334</v>
      </c>
      <c r="M193" s="1" t="s">
        <v>7</v>
      </c>
      <c r="N193" s="1" t="s">
        <v>8</v>
      </c>
      <c r="O193" s="1">
        <v>2.0499999999999998</v>
      </c>
      <c r="P193" s="1">
        <f>9819170/1.2/1000*7.13*O193</f>
        <v>119601.58192083334</v>
      </c>
      <c r="S193" s="1" t="s">
        <v>7</v>
      </c>
      <c r="T193" s="1" t="s">
        <v>8</v>
      </c>
      <c r="U193" s="1">
        <v>2.0499999999999998</v>
      </c>
      <c r="V193" s="1">
        <f>9819170/1.2/1000*7.13*U193</f>
        <v>119601.58192083334</v>
      </c>
      <c r="Y193" s="1" t="s">
        <v>7</v>
      </c>
      <c r="Z193" s="1" t="s">
        <v>8</v>
      </c>
      <c r="AA193" s="1">
        <v>2.0499999999999998</v>
      </c>
      <c r="AB193" s="1">
        <f>9819170/1.2/1000*7.13*AA193</f>
        <v>119601.58192083334</v>
      </c>
    </row>
    <row r="194" spans="1:28" hidden="1" outlineLevel="1">
      <c r="A194" s="1" t="s">
        <v>20</v>
      </c>
      <c r="B194" s="1" t="s">
        <v>8</v>
      </c>
      <c r="C194" s="1">
        <v>4.3</v>
      </c>
      <c r="D194" s="1">
        <f>C194*16500</f>
        <v>70950</v>
      </c>
      <c r="G194" s="1" t="s">
        <v>20</v>
      </c>
      <c r="H194" s="1" t="s">
        <v>8</v>
      </c>
      <c r="I194" s="1">
        <v>4.3</v>
      </c>
      <c r="J194" s="1">
        <f>I194*16500</f>
        <v>70950</v>
      </c>
      <c r="M194" s="1" t="s">
        <v>20</v>
      </c>
      <c r="N194" s="1" t="s">
        <v>8</v>
      </c>
      <c r="O194" s="1">
        <v>4.3</v>
      </c>
      <c r="P194" s="1">
        <f>O194*16500</f>
        <v>70950</v>
      </c>
      <c r="S194" s="1" t="s">
        <v>20</v>
      </c>
      <c r="T194" s="1" t="s">
        <v>8</v>
      </c>
      <c r="U194" s="1">
        <v>4.3</v>
      </c>
      <c r="V194" s="1">
        <f>U194*16500</f>
        <v>70950</v>
      </c>
      <c r="Y194" s="1" t="s">
        <v>20</v>
      </c>
      <c r="Z194" s="1" t="s">
        <v>8</v>
      </c>
      <c r="AA194" s="1">
        <v>4.3</v>
      </c>
      <c r="AB194" s="1">
        <f>AA194*16500</f>
        <v>70950</v>
      </c>
    </row>
    <row r="195" spans="1:28" hidden="1" outlineLevel="1">
      <c r="A195" s="2" t="s">
        <v>9</v>
      </c>
      <c r="B195" s="2" t="s">
        <v>10</v>
      </c>
      <c r="C195" s="1">
        <v>1</v>
      </c>
      <c r="D195" s="1">
        <f>2076000/1.2</f>
        <v>1730000</v>
      </c>
      <c r="G195" s="2" t="s">
        <v>9</v>
      </c>
      <c r="H195" s="2" t="s">
        <v>10</v>
      </c>
      <c r="I195" s="1">
        <v>1</v>
      </c>
      <c r="J195" s="1">
        <f>2076000/1.2</f>
        <v>1730000</v>
      </c>
      <c r="M195" s="2" t="s">
        <v>9</v>
      </c>
      <c r="N195" s="2" t="s">
        <v>10</v>
      </c>
      <c r="O195" s="1">
        <v>1</v>
      </c>
      <c r="P195" s="1">
        <f>2076000/1.2</f>
        <v>1730000</v>
      </c>
      <c r="S195" s="2" t="s">
        <v>9</v>
      </c>
      <c r="T195" s="2" t="s">
        <v>10</v>
      </c>
      <c r="U195" s="1">
        <v>1</v>
      </c>
      <c r="V195" s="1">
        <f>2076000/1.2</f>
        <v>1730000</v>
      </c>
      <c r="Y195" s="2" t="s">
        <v>9</v>
      </c>
      <c r="Z195" s="2" t="s">
        <v>10</v>
      </c>
      <c r="AA195" s="1">
        <v>1</v>
      </c>
      <c r="AB195" s="1">
        <f>2076000/1.2</f>
        <v>1730000</v>
      </c>
    </row>
    <row r="196" spans="1:28" hidden="1" outlineLevel="1">
      <c r="A196" s="2" t="s">
        <v>11</v>
      </c>
      <c r="B196" s="3"/>
      <c r="C196" s="5"/>
      <c r="D196" s="7">
        <v>120000</v>
      </c>
      <c r="G196" s="2" t="s">
        <v>11</v>
      </c>
      <c r="H196" s="3"/>
      <c r="I196" s="5"/>
      <c r="J196" s="7">
        <v>120000</v>
      </c>
      <c r="M196" s="2" t="s">
        <v>11</v>
      </c>
      <c r="N196" s="3"/>
      <c r="O196" s="5"/>
      <c r="P196" s="7">
        <v>120000</v>
      </c>
      <c r="S196" s="2" t="s">
        <v>11</v>
      </c>
      <c r="T196" s="3"/>
      <c r="U196" s="5"/>
      <c r="V196" s="7">
        <v>120000</v>
      </c>
      <c r="Y196" s="2" t="s">
        <v>11</v>
      </c>
      <c r="Z196" s="3"/>
      <c r="AA196" s="5"/>
      <c r="AB196" s="7">
        <v>120000</v>
      </c>
    </row>
    <row r="197" spans="1:28" hidden="1" outlineLevel="1">
      <c r="A197" s="2" t="s">
        <v>12</v>
      </c>
      <c r="B197" s="3"/>
      <c r="C197" s="5"/>
      <c r="D197" s="7">
        <v>670000</v>
      </c>
      <c r="G197" s="2" t="s">
        <v>12</v>
      </c>
      <c r="H197" s="3"/>
      <c r="I197" s="5"/>
      <c r="J197" s="7">
        <v>670000</v>
      </c>
      <c r="M197" s="2" t="s">
        <v>12</v>
      </c>
      <c r="N197" s="3"/>
      <c r="O197" s="5"/>
      <c r="P197" s="7">
        <v>670000</v>
      </c>
      <c r="S197" s="2" t="s">
        <v>12</v>
      </c>
      <c r="T197" s="3"/>
      <c r="U197" s="5"/>
      <c r="V197" s="7">
        <v>670000</v>
      </c>
      <c r="Y197" s="2" t="s">
        <v>12</v>
      </c>
      <c r="Z197" s="3"/>
      <c r="AA197" s="5"/>
      <c r="AB197" s="7">
        <v>670000</v>
      </c>
    </row>
    <row r="198" spans="1:28" hidden="1" outlineLevel="1">
      <c r="A198" s="2" t="s">
        <v>13</v>
      </c>
      <c r="B198" s="1" t="s">
        <v>14</v>
      </c>
      <c r="C198" s="5">
        <f>(0.2*C190)+(0.13*C122)+(0.08*C192)+(0.32*C193)+(0.1*C194)</f>
        <v>3.286</v>
      </c>
      <c r="D198" s="1">
        <f>C198*25000</f>
        <v>82150</v>
      </c>
      <c r="G198" s="2" t="s">
        <v>13</v>
      </c>
      <c r="H198" s="1" t="s">
        <v>14</v>
      </c>
      <c r="I198" s="5">
        <f>(0.2*I190)+(0.13*I122)+(0.08*I192)+(0.32*I193)+(0.1*I194)</f>
        <v>3.3860000000000006</v>
      </c>
      <c r="J198" s="1">
        <f>I198*25000</f>
        <v>84650.000000000015</v>
      </c>
      <c r="M198" s="2" t="s">
        <v>13</v>
      </c>
      <c r="N198" s="1" t="s">
        <v>14</v>
      </c>
      <c r="O198" s="5">
        <f>(0.2*O190)+(0.13*O122)+(0.08*O192)+(0.32*O193)+(0.1*O194)</f>
        <v>3.5859999999999999</v>
      </c>
      <c r="P198" s="1">
        <f>O198*25000</f>
        <v>89650</v>
      </c>
      <c r="S198" s="2" t="s">
        <v>13</v>
      </c>
      <c r="T198" s="1" t="s">
        <v>14</v>
      </c>
      <c r="U198" s="5">
        <f>(0.2*U190)+(0.13*U122)+(0.08*U192)+(0.32*U193)+(0.1*U194)</f>
        <v>3.5859999999999999</v>
      </c>
      <c r="V198" s="1">
        <f>U198*25000</f>
        <v>89650</v>
      </c>
      <c r="Y198" s="2" t="s">
        <v>13</v>
      </c>
      <c r="Z198" s="1" t="s">
        <v>14</v>
      </c>
      <c r="AA198" s="5">
        <f>(0.2*AA190)+(0.13*AA122)+(0.08*AA192)+(0.32*AA193)+(0.1*AA194)</f>
        <v>3.6860000000000004</v>
      </c>
      <c r="AB198" s="1">
        <f>AA198*25000</f>
        <v>92150.000000000015</v>
      </c>
    </row>
    <row r="199" spans="1:28" hidden="1" outlineLevel="1">
      <c r="A199" s="2" t="s">
        <v>19</v>
      </c>
      <c r="B199" s="2" t="s">
        <v>8</v>
      </c>
      <c r="C199" s="1">
        <f>21*1.75</f>
        <v>36.75</v>
      </c>
      <c r="D199" s="6">
        <f>13000*1.75*C199</f>
        <v>836062.5</v>
      </c>
      <c r="G199" s="2" t="s">
        <v>19</v>
      </c>
      <c r="H199" s="2" t="s">
        <v>8</v>
      </c>
      <c r="I199" s="1">
        <f>25*1.75</f>
        <v>43.75</v>
      </c>
      <c r="J199" s="6">
        <f>13300*1.75*I199</f>
        <v>1018281.25</v>
      </c>
      <c r="M199" s="2" t="s">
        <v>19</v>
      </c>
      <c r="N199" s="2" t="s">
        <v>8</v>
      </c>
      <c r="O199" s="1">
        <f>28*1.75</f>
        <v>49</v>
      </c>
      <c r="P199" s="6">
        <f>13300*1.75*O199</f>
        <v>1140475</v>
      </c>
      <c r="S199" s="2" t="s">
        <v>19</v>
      </c>
      <c r="T199" s="2" t="s">
        <v>8</v>
      </c>
      <c r="U199" s="1">
        <f>32*1.75</f>
        <v>56</v>
      </c>
      <c r="V199" s="6">
        <f>13300*1.75*U199</f>
        <v>1303400</v>
      </c>
      <c r="Y199" s="2" t="s">
        <v>19</v>
      </c>
      <c r="Z199" s="2" t="s">
        <v>8</v>
      </c>
      <c r="AA199" s="1">
        <f>35*1.75</f>
        <v>61.25</v>
      </c>
      <c r="AB199" s="6">
        <f>13300*1.75*AA199</f>
        <v>1425593.75</v>
      </c>
    </row>
    <row r="200" spans="1:28" hidden="1" outlineLevel="1">
      <c r="A200" s="2" t="s">
        <v>16</v>
      </c>
      <c r="B200" s="2" t="s">
        <v>10</v>
      </c>
      <c r="C200" s="1">
        <v>1</v>
      </c>
      <c r="D200" s="1">
        <v>180000</v>
      </c>
      <c r="G200" s="2" t="s">
        <v>16</v>
      </c>
      <c r="H200" s="2" t="s">
        <v>10</v>
      </c>
      <c r="I200" s="1">
        <v>1</v>
      </c>
      <c r="J200" s="1">
        <v>180000</v>
      </c>
      <c r="M200" s="2" t="s">
        <v>16</v>
      </c>
      <c r="N200" s="2" t="s">
        <v>10</v>
      </c>
      <c r="O200" s="1">
        <v>1</v>
      </c>
      <c r="P200" s="1">
        <v>180000</v>
      </c>
      <c r="S200" s="2" t="s">
        <v>16</v>
      </c>
      <c r="T200" s="2" t="s">
        <v>10</v>
      </c>
      <c r="U200" s="1">
        <v>1</v>
      </c>
      <c r="V200" s="1">
        <v>180000</v>
      </c>
      <c r="Y200" s="2" t="s">
        <v>16</v>
      </c>
      <c r="Z200" s="2" t="s">
        <v>10</v>
      </c>
      <c r="AA200" s="1">
        <v>1</v>
      </c>
      <c r="AB200" s="1">
        <v>180000</v>
      </c>
    </row>
    <row r="201" spans="1:28" hidden="1" outlineLevel="1">
      <c r="A201" s="2" t="s">
        <v>17</v>
      </c>
      <c r="B201" s="2" t="s">
        <v>10</v>
      </c>
      <c r="C201" s="1"/>
      <c r="D201" s="7">
        <v>871000</v>
      </c>
      <c r="G201" s="2" t="s">
        <v>17</v>
      </c>
      <c r="H201" s="2" t="s">
        <v>10</v>
      </c>
      <c r="I201" s="1"/>
      <c r="J201" s="7">
        <v>871000</v>
      </c>
      <c r="M201" s="2" t="s">
        <v>17</v>
      </c>
      <c r="N201" s="2" t="s">
        <v>10</v>
      </c>
      <c r="O201" s="1"/>
      <c r="P201" s="7">
        <v>871000</v>
      </c>
      <c r="S201" s="2" t="s">
        <v>17</v>
      </c>
      <c r="T201" s="2" t="s">
        <v>10</v>
      </c>
      <c r="U201" s="1"/>
      <c r="V201" s="7">
        <v>871000</v>
      </c>
      <c r="Y201" s="2" t="s">
        <v>17</v>
      </c>
      <c r="Z201" s="2" t="s">
        <v>10</v>
      </c>
      <c r="AA201" s="1"/>
      <c r="AB201" s="7">
        <v>871000</v>
      </c>
    </row>
    <row r="202" spans="1:28" hidden="1" outlineLevel="1">
      <c r="A202" s="2" t="s">
        <v>48</v>
      </c>
      <c r="B202" s="10" t="s">
        <v>50</v>
      </c>
      <c r="C202" s="1"/>
      <c r="D202" s="1">
        <f>SUM(D190:D201)</f>
        <v>5053963.3873075005</v>
      </c>
      <c r="G202" s="2" t="s">
        <v>48</v>
      </c>
      <c r="H202" s="10" t="s">
        <v>50</v>
      </c>
      <c r="I202" s="1"/>
      <c r="J202" s="1">
        <f>SUM(J190:J201)</f>
        <v>5266313.4452541666</v>
      </c>
      <c r="M202" s="2" t="s">
        <v>48</v>
      </c>
      <c r="N202" s="10" t="s">
        <v>50</v>
      </c>
      <c r="O202" s="1"/>
      <c r="P202" s="1">
        <f>SUM(P190:P201)</f>
        <v>5416582.0725874994</v>
      </c>
      <c r="S202" s="2" t="s">
        <v>48</v>
      </c>
      <c r="T202" s="10" t="s">
        <v>50</v>
      </c>
      <c r="U202" s="1"/>
      <c r="V202" s="1">
        <f>SUM(V190:V201)</f>
        <v>5587554.0249875002</v>
      </c>
      <c r="Y202" s="2" t="s">
        <v>48</v>
      </c>
      <c r="Z202" s="10" t="s">
        <v>50</v>
      </c>
      <c r="AA202" s="1"/>
      <c r="AB202" s="1">
        <f>SUM(AB190:AB201)</f>
        <v>5729149.8485874999</v>
      </c>
    </row>
    <row r="203" spans="1:28" hidden="1" outlineLevel="1">
      <c r="A203" s="2" t="s">
        <v>49</v>
      </c>
      <c r="B203" s="10" t="s">
        <v>51</v>
      </c>
      <c r="C203" s="1">
        <v>1.7</v>
      </c>
      <c r="D203" s="1">
        <f>D202*C203</f>
        <v>8591737.758422751</v>
      </c>
      <c r="G203" s="2" t="s">
        <v>49</v>
      </c>
      <c r="H203" s="10" t="s">
        <v>51</v>
      </c>
      <c r="I203" s="1">
        <v>1.7</v>
      </c>
      <c r="J203" s="1">
        <f>J202*I203</f>
        <v>8952732.8569320831</v>
      </c>
      <c r="M203" s="2" t="s">
        <v>49</v>
      </c>
      <c r="N203" s="10" t="s">
        <v>51</v>
      </c>
      <c r="O203" s="1">
        <v>1.7</v>
      </c>
      <c r="P203" s="1">
        <f>P202*O203</f>
        <v>9208189.5233987495</v>
      </c>
      <c r="S203" s="2" t="s">
        <v>49</v>
      </c>
      <c r="T203" s="10" t="s">
        <v>51</v>
      </c>
      <c r="U203" s="1">
        <v>1.7</v>
      </c>
      <c r="V203" s="1">
        <f>V202*U203</f>
        <v>9498841.8424787503</v>
      </c>
      <c r="Y203" s="2" t="s">
        <v>49</v>
      </c>
      <c r="Z203" s="10" t="s">
        <v>51</v>
      </c>
      <c r="AA203" s="1">
        <v>1.7</v>
      </c>
      <c r="AB203" s="1">
        <f>AA203*AB202</f>
        <v>9739554.7425987497</v>
      </c>
    </row>
    <row r="204" spans="1:28" hidden="1" outlineLevel="1">
      <c r="A204" s="2" t="s">
        <v>52</v>
      </c>
      <c r="B204" s="10" t="s">
        <v>51</v>
      </c>
      <c r="C204" s="2">
        <v>20</v>
      </c>
      <c r="D204" s="1">
        <f>D203*0.2</f>
        <v>1718347.5516845502</v>
      </c>
      <c r="G204" s="2" t="s">
        <v>52</v>
      </c>
      <c r="H204" s="10" t="s">
        <v>51</v>
      </c>
      <c r="I204" s="2">
        <v>20</v>
      </c>
      <c r="J204" s="1">
        <f>J203*0.2</f>
        <v>1790546.5713864167</v>
      </c>
      <c r="M204" s="2" t="s">
        <v>52</v>
      </c>
      <c r="N204" s="10" t="s">
        <v>51</v>
      </c>
      <c r="O204" s="2">
        <v>20</v>
      </c>
      <c r="P204" s="1">
        <f>P203*0.2</f>
        <v>1841637.9046797501</v>
      </c>
      <c r="S204" s="2" t="s">
        <v>52</v>
      </c>
      <c r="T204" s="10" t="s">
        <v>51</v>
      </c>
      <c r="U204" s="2">
        <v>20</v>
      </c>
      <c r="V204" s="1">
        <f>V203*0.2</f>
        <v>1899768.3684957502</v>
      </c>
      <c r="Y204" s="2" t="s">
        <v>52</v>
      </c>
      <c r="Z204" s="10" t="s">
        <v>51</v>
      </c>
      <c r="AA204" s="2">
        <v>20</v>
      </c>
      <c r="AB204" s="1">
        <f>AB203*0.2</f>
        <v>1947910.94851975</v>
      </c>
    </row>
    <row r="205" spans="1:28" collapsed="1">
      <c r="A205" s="2" t="s">
        <v>53</v>
      </c>
      <c r="B205" s="10"/>
      <c r="C205" s="1"/>
      <c r="D205" s="15">
        <f>D203+D204</f>
        <v>10310085.310107302</v>
      </c>
      <c r="G205" s="2" t="s">
        <v>53</v>
      </c>
      <c r="H205" s="10"/>
      <c r="I205" s="1"/>
      <c r="J205" s="15">
        <f>J203+J204</f>
        <v>10743279.428318501</v>
      </c>
      <c r="M205" s="2" t="s">
        <v>53</v>
      </c>
      <c r="N205" s="10"/>
      <c r="O205" s="1"/>
      <c r="P205" s="15">
        <f>P203+P204</f>
        <v>11049827.428078499</v>
      </c>
      <c r="S205" s="2" t="s">
        <v>53</v>
      </c>
      <c r="T205" s="10"/>
      <c r="U205" s="1"/>
      <c r="V205" s="15">
        <f>V203+V204</f>
        <v>11398610.2109745</v>
      </c>
      <c r="Y205" s="2" t="s">
        <v>53</v>
      </c>
      <c r="Z205" s="10"/>
      <c r="AA205" s="1"/>
      <c r="AB205" s="15">
        <f>AB203+AB204</f>
        <v>11687465.691118499</v>
      </c>
    </row>
    <row r="208" spans="1:28" ht="23.25">
      <c r="A208" s="34" t="s">
        <v>64</v>
      </c>
      <c r="B208" s="34"/>
    </row>
    <row r="210" spans="1:28">
      <c r="A210" s="1" t="s">
        <v>44</v>
      </c>
      <c r="B210" s="20" t="s">
        <v>62</v>
      </c>
      <c r="C210" s="20"/>
      <c r="D210" s="20"/>
      <c r="E210" s="20"/>
      <c r="G210" s="1" t="s">
        <v>45</v>
      </c>
      <c r="M210" s="1" t="s">
        <v>46</v>
      </c>
      <c r="S210" s="1" t="s">
        <v>47</v>
      </c>
      <c r="Y210" s="1" t="s">
        <v>59</v>
      </c>
    </row>
    <row r="211" spans="1:28">
      <c r="A211" s="19" t="s">
        <v>0</v>
      </c>
      <c r="B211" s="24" t="s">
        <v>1</v>
      </c>
      <c r="C211" s="24" t="s">
        <v>2</v>
      </c>
      <c r="D211" s="24" t="s">
        <v>3</v>
      </c>
      <c r="E211" s="23"/>
      <c r="G211" s="19" t="s">
        <v>0</v>
      </c>
      <c r="H211" s="19" t="s">
        <v>1</v>
      </c>
      <c r="I211" s="19" t="s">
        <v>2</v>
      </c>
      <c r="J211" s="19" t="s">
        <v>3</v>
      </c>
      <c r="M211" s="19" t="s">
        <v>0</v>
      </c>
      <c r="N211" s="19" t="s">
        <v>1</v>
      </c>
      <c r="O211" s="19" t="s">
        <v>2</v>
      </c>
      <c r="P211" s="19" t="s">
        <v>3</v>
      </c>
      <c r="S211" s="19" t="s">
        <v>0</v>
      </c>
      <c r="T211" s="19" t="s">
        <v>1</v>
      </c>
      <c r="U211" s="19" t="s">
        <v>2</v>
      </c>
      <c r="V211" s="19" t="s">
        <v>3</v>
      </c>
      <c r="Y211" s="19" t="s">
        <v>0</v>
      </c>
      <c r="Z211" s="19" t="s">
        <v>1</v>
      </c>
      <c r="AA211" s="19" t="s">
        <v>2</v>
      </c>
      <c r="AB211" s="19" t="s">
        <v>3</v>
      </c>
    </row>
    <row r="212" spans="1:28" hidden="1" outlineLevel="1">
      <c r="A212" s="1" t="s">
        <v>4</v>
      </c>
      <c r="B212" s="1" t="s">
        <v>8</v>
      </c>
      <c r="C212" s="1">
        <v>11</v>
      </c>
      <c r="D212" s="1">
        <f>9354680/1.2/1000*2.96*C212+(28000*2)</f>
        <v>309823.65066666668</v>
      </c>
      <c r="E212" s="4"/>
      <c r="G212" s="1" t="s">
        <v>4</v>
      </c>
      <c r="H212" s="1" t="s">
        <v>8</v>
      </c>
      <c r="I212" s="1">
        <v>11.5</v>
      </c>
      <c r="J212" s="1">
        <f>9354680/1.2/1000*2.96*I212+(28000*2)</f>
        <v>321361.08933333337</v>
      </c>
      <c r="M212" s="1" t="s">
        <v>4</v>
      </c>
      <c r="N212" s="1" t="s">
        <v>8</v>
      </c>
      <c r="O212" s="1">
        <v>12.5</v>
      </c>
      <c r="P212" s="1">
        <f>9354680/1.2/1000*2.96*O212+(28000*2)</f>
        <v>344435.96666666667</v>
      </c>
      <c r="S212" s="1" t="s">
        <v>4</v>
      </c>
      <c r="T212" s="1" t="s">
        <v>8</v>
      </c>
      <c r="U212" s="1">
        <v>12.5</v>
      </c>
      <c r="V212" s="1">
        <f>9354680/1.2/1000*2.96*U212+(28000*2)</f>
        <v>344435.96666666667</v>
      </c>
      <c r="Y212" s="1" t="s">
        <v>4</v>
      </c>
      <c r="Z212" s="1" t="s">
        <v>8</v>
      </c>
      <c r="AA212" s="1">
        <v>13</v>
      </c>
      <c r="AB212" s="1">
        <f>9354680/1.2/1000*2.96*AA212+(28000*2)</f>
        <v>355973.40533333336</v>
      </c>
    </row>
    <row r="213" spans="1:28" hidden="1" outlineLevel="1">
      <c r="A213" s="1" t="s">
        <v>5</v>
      </c>
      <c r="B213" s="1" t="s">
        <v>8</v>
      </c>
      <c r="C213" s="1">
        <v>4.8</v>
      </c>
      <c r="D213" s="1">
        <f>10874266/1.2/1000*1.48*C213</f>
        <v>64375.654720000006</v>
      </c>
      <c r="E213" s="4"/>
      <c r="G213" s="1" t="s">
        <v>5</v>
      </c>
      <c r="H213" s="1" t="s">
        <v>8</v>
      </c>
      <c r="I213" s="1">
        <v>6</v>
      </c>
      <c r="J213" s="1">
        <f>10874260/1.2/1000*1.48*I213</f>
        <v>80469.524000000005</v>
      </c>
      <c r="M213" s="1" t="s">
        <v>5</v>
      </c>
      <c r="N213" s="1" t="s">
        <v>8</v>
      </c>
      <c r="O213" s="1">
        <v>6</v>
      </c>
      <c r="P213" s="1">
        <f>10874260/1.2/1000*1.48*O213</f>
        <v>80469.524000000005</v>
      </c>
      <c r="S213" s="1" t="s">
        <v>5</v>
      </c>
      <c r="T213" s="1" t="s">
        <v>8</v>
      </c>
      <c r="U213" s="1">
        <v>6.6</v>
      </c>
      <c r="V213" s="1">
        <f>10874260/1.2/1000*1.48*U213</f>
        <v>88516.4764</v>
      </c>
      <c r="Y213" s="1" t="s">
        <v>5</v>
      </c>
      <c r="Z213" s="1" t="s">
        <v>8</v>
      </c>
      <c r="AA213" s="1">
        <v>7</v>
      </c>
      <c r="AB213" s="1">
        <f>10874260/1.2/1000*1.48*AA213</f>
        <v>93881.111333333334</v>
      </c>
    </row>
    <row r="214" spans="1:28" hidden="1" outlineLevel="1">
      <c r="A214" s="1" t="s">
        <v>6</v>
      </c>
      <c r="B214" s="1" t="s">
        <v>8</v>
      </c>
      <c r="C214" s="1"/>
      <c r="D214" s="1">
        <f>9351600/1.2/1000*1.08*C214</f>
        <v>0</v>
      </c>
      <c r="E214" s="4"/>
      <c r="G214" s="1" t="s">
        <v>6</v>
      </c>
      <c r="H214" s="1" t="s">
        <v>8</v>
      </c>
      <c r="I214" s="1"/>
      <c r="J214" s="1">
        <f>9351600/1.2/1000*1.08*I214</f>
        <v>0</v>
      </c>
      <c r="M214" s="1" t="s">
        <v>6</v>
      </c>
      <c r="N214" s="1" t="s">
        <v>8</v>
      </c>
      <c r="O214" s="1"/>
      <c r="P214" s="1">
        <f>9351600/1.2/1000*1.08*O214</f>
        <v>0</v>
      </c>
      <c r="S214" s="1" t="s">
        <v>6</v>
      </c>
      <c r="T214" s="1" t="s">
        <v>8</v>
      </c>
      <c r="U214" s="1"/>
      <c r="V214" s="1">
        <f>9351600/1.2/1000*1.08*U214</f>
        <v>0</v>
      </c>
      <c r="Y214" s="1" t="s">
        <v>6</v>
      </c>
      <c r="Z214" s="1" t="s">
        <v>8</v>
      </c>
      <c r="AA214" s="1"/>
      <c r="AB214" s="1">
        <f>9351600/1.2/1000*1.08*AA214</f>
        <v>0</v>
      </c>
    </row>
    <row r="215" spans="1:28" hidden="1" outlineLevel="1">
      <c r="A215" s="1" t="s">
        <v>7</v>
      </c>
      <c r="B215" s="1" t="s">
        <v>8</v>
      </c>
      <c r="C215" s="1">
        <v>2.0499999999999998</v>
      </c>
      <c r="D215" s="1">
        <f>9819170/1.2/1000*7.13*C215</f>
        <v>119601.58192083334</v>
      </c>
      <c r="E215" s="4"/>
      <c r="G215" s="1" t="s">
        <v>7</v>
      </c>
      <c r="H215" s="1" t="s">
        <v>8</v>
      </c>
      <c r="I215" s="1">
        <v>2.0499999999999998</v>
      </c>
      <c r="J215" s="1">
        <f>9819170/1.2/1000*7.13*I215</f>
        <v>119601.58192083334</v>
      </c>
      <c r="M215" s="1" t="s">
        <v>7</v>
      </c>
      <c r="N215" s="1" t="s">
        <v>8</v>
      </c>
      <c r="O215" s="1">
        <v>2.0499999999999998</v>
      </c>
      <c r="P215" s="1">
        <f>9819170/1.2/1000*7.13*O215</f>
        <v>119601.58192083334</v>
      </c>
      <c r="S215" s="1" t="s">
        <v>7</v>
      </c>
      <c r="T215" s="1" t="s">
        <v>8</v>
      </c>
      <c r="U215" s="1">
        <v>2.0499999999999998</v>
      </c>
      <c r="V215" s="1">
        <f>9819170/1.2/1000*7.13*U215</f>
        <v>119601.58192083334</v>
      </c>
      <c r="Y215" s="1" t="s">
        <v>7</v>
      </c>
      <c r="Z215" s="1" t="s">
        <v>8</v>
      </c>
      <c r="AA215" s="1">
        <v>2.0499999999999998</v>
      </c>
      <c r="AB215" s="1">
        <f>9819170/1.2/1000*7.13*AA215</f>
        <v>119601.58192083334</v>
      </c>
    </row>
    <row r="216" spans="1:28" hidden="1" outlineLevel="1">
      <c r="A216" s="1" t="s">
        <v>20</v>
      </c>
      <c r="B216" s="1" t="s">
        <v>8</v>
      </c>
      <c r="C216" s="1">
        <v>4.3</v>
      </c>
      <c r="D216" s="1">
        <f>C216*16500</f>
        <v>70950</v>
      </c>
      <c r="E216" s="4"/>
      <c r="G216" s="1" t="s">
        <v>20</v>
      </c>
      <c r="H216" s="1" t="s">
        <v>8</v>
      </c>
      <c r="I216" s="1">
        <v>4.3</v>
      </c>
      <c r="J216" s="1">
        <f>I216*16500</f>
        <v>70950</v>
      </c>
      <c r="M216" s="1" t="s">
        <v>20</v>
      </c>
      <c r="N216" s="1" t="s">
        <v>8</v>
      </c>
      <c r="O216" s="1">
        <v>4.3</v>
      </c>
      <c r="P216" s="1">
        <f>O216*16500</f>
        <v>70950</v>
      </c>
      <c r="S216" s="1" t="s">
        <v>20</v>
      </c>
      <c r="T216" s="1" t="s">
        <v>8</v>
      </c>
      <c r="U216" s="1">
        <v>4.3</v>
      </c>
      <c r="V216" s="1">
        <f>U216*16500</f>
        <v>70950</v>
      </c>
      <c r="Y216" s="1" t="s">
        <v>20</v>
      </c>
      <c r="Z216" s="1" t="s">
        <v>8</v>
      </c>
      <c r="AA216" s="1">
        <v>4.3</v>
      </c>
      <c r="AB216" s="1">
        <f>AA216*16500</f>
        <v>70950</v>
      </c>
    </row>
    <row r="217" spans="1:28" hidden="1" outlineLevel="1">
      <c r="A217" s="2" t="s">
        <v>9</v>
      </c>
      <c r="B217" s="2" t="s">
        <v>10</v>
      </c>
      <c r="C217" s="1">
        <v>1</v>
      </c>
      <c r="D217" s="1">
        <f>2076000/1.2</f>
        <v>1730000</v>
      </c>
      <c r="E217" s="4"/>
      <c r="G217" s="2" t="s">
        <v>9</v>
      </c>
      <c r="H217" s="2" t="s">
        <v>10</v>
      </c>
      <c r="I217" s="1">
        <v>1</v>
      </c>
      <c r="J217" s="1">
        <f>2076000/1.2</f>
        <v>1730000</v>
      </c>
      <c r="M217" s="2" t="s">
        <v>9</v>
      </c>
      <c r="N217" s="2" t="s">
        <v>10</v>
      </c>
      <c r="O217" s="1">
        <v>1</v>
      </c>
      <c r="P217" s="1">
        <f>2076000/1.2</f>
        <v>1730000</v>
      </c>
      <c r="S217" s="2" t="s">
        <v>9</v>
      </c>
      <c r="T217" s="2" t="s">
        <v>10</v>
      </c>
      <c r="U217" s="1">
        <v>1</v>
      </c>
      <c r="V217" s="1">
        <f>2076000/1.2</f>
        <v>1730000</v>
      </c>
      <c r="Y217" s="2" t="s">
        <v>9</v>
      </c>
      <c r="Z217" s="2" t="s">
        <v>10</v>
      </c>
      <c r="AA217" s="1">
        <v>1</v>
      </c>
      <c r="AB217" s="1">
        <f>2076000/1.2</f>
        <v>1730000</v>
      </c>
    </row>
    <row r="218" spans="1:28" hidden="1" outlineLevel="1">
      <c r="A218" s="2" t="s">
        <v>11</v>
      </c>
      <c r="B218" s="3"/>
      <c r="C218" s="5"/>
      <c r="D218" s="7">
        <v>120000</v>
      </c>
      <c r="E218" s="22"/>
      <c r="G218" s="2" t="s">
        <v>11</v>
      </c>
      <c r="H218" s="3"/>
      <c r="I218" s="5"/>
      <c r="J218" s="7">
        <v>120000</v>
      </c>
      <c r="M218" s="2" t="s">
        <v>11</v>
      </c>
      <c r="N218" s="3"/>
      <c r="O218" s="5"/>
      <c r="P218" s="7">
        <v>120000</v>
      </c>
      <c r="S218" s="2" t="s">
        <v>11</v>
      </c>
      <c r="T218" s="3"/>
      <c r="U218" s="5"/>
      <c r="V218" s="7">
        <v>120000</v>
      </c>
      <c r="Y218" s="2" t="s">
        <v>11</v>
      </c>
      <c r="Z218" s="3"/>
      <c r="AA218" s="5"/>
      <c r="AB218" s="7">
        <v>120000</v>
      </c>
    </row>
    <row r="219" spans="1:28" hidden="1" outlineLevel="1">
      <c r="A219" s="2" t="s">
        <v>12</v>
      </c>
      <c r="B219" s="3"/>
      <c r="C219" s="5"/>
      <c r="D219" s="7">
        <v>670000</v>
      </c>
      <c r="E219" s="22"/>
      <c r="G219" s="2" t="s">
        <v>12</v>
      </c>
      <c r="H219" s="3"/>
      <c r="I219" s="5"/>
      <c r="J219" s="7">
        <v>670000</v>
      </c>
      <c r="M219" s="2" t="s">
        <v>12</v>
      </c>
      <c r="N219" s="3"/>
      <c r="O219" s="5"/>
      <c r="P219" s="7">
        <v>670000</v>
      </c>
      <c r="S219" s="2" t="s">
        <v>12</v>
      </c>
      <c r="T219" s="3"/>
      <c r="U219" s="5"/>
      <c r="V219" s="7">
        <v>670000</v>
      </c>
      <c r="Y219" s="2" t="s">
        <v>12</v>
      </c>
      <c r="Z219" s="3"/>
      <c r="AA219" s="5"/>
      <c r="AB219" s="7">
        <v>670000</v>
      </c>
    </row>
    <row r="220" spans="1:28" hidden="1" outlineLevel="1">
      <c r="A220" s="2" t="s">
        <v>13</v>
      </c>
      <c r="B220" s="1" t="s">
        <v>14</v>
      </c>
      <c r="C220" s="5">
        <f>(0.2*C212)+(0.13*C66)+(0.08*C214)+(0.32*C215)+(0.1*C216)</f>
        <v>3.4159999999999999</v>
      </c>
      <c r="D220" s="1">
        <f>C220*25000</f>
        <v>85400</v>
      </c>
      <c r="E220" s="4"/>
      <c r="G220" s="2" t="s">
        <v>13</v>
      </c>
      <c r="H220" s="1" t="s">
        <v>14</v>
      </c>
      <c r="I220" s="5">
        <f>(0.2*I212)+(0.13*I66)+(0.08*I214)+(0.32*I215)+(0.1*I216)</f>
        <v>3.5160000000000005</v>
      </c>
      <c r="J220" s="1">
        <f>I220*25000</f>
        <v>87900.000000000015</v>
      </c>
      <c r="M220" s="2" t="s">
        <v>13</v>
      </c>
      <c r="N220" s="1" t="s">
        <v>14</v>
      </c>
      <c r="O220" s="5">
        <f>(0.2*O212)+(0.13*O66)+(0.08*O214)+(0.32*O215)+(0.1*O216)</f>
        <v>3.7159999999999997</v>
      </c>
      <c r="P220" s="1">
        <f>O220*25000</f>
        <v>92900</v>
      </c>
      <c r="S220" s="2" t="s">
        <v>13</v>
      </c>
      <c r="T220" s="1" t="s">
        <v>14</v>
      </c>
      <c r="U220" s="5">
        <f>(0.2*U212)+(0.13*U66)+(0.08*U214)+(0.32*U215)+(0.1*U216)</f>
        <v>3.7159999999999997</v>
      </c>
      <c r="V220" s="1">
        <f>U220*25000</f>
        <v>92900</v>
      </c>
      <c r="Y220" s="2" t="s">
        <v>13</v>
      </c>
      <c r="Z220" s="1" t="s">
        <v>14</v>
      </c>
      <c r="AA220" s="5">
        <f>(0.2*AA212)+(0.13*AA66)+(0.08*AA214)+(0.32*AA215)+(0.1*AA216)</f>
        <v>3.8160000000000003</v>
      </c>
      <c r="AB220" s="1">
        <f>AA220*25000</f>
        <v>95400</v>
      </c>
    </row>
    <row r="221" spans="1:28" hidden="1" outlineLevel="1">
      <c r="A221" s="2" t="s">
        <v>19</v>
      </c>
      <c r="B221" s="2" t="s">
        <v>8</v>
      </c>
      <c r="C221" s="1">
        <f>33*1.75</f>
        <v>57.75</v>
      </c>
      <c r="D221" s="6">
        <f>10300*1.75*C221</f>
        <v>1040943.75</v>
      </c>
      <c r="E221" s="4"/>
      <c r="G221" s="2" t="s">
        <v>19</v>
      </c>
      <c r="H221" s="2" t="s">
        <v>8</v>
      </c>
      <c r="I221" s="1">
        <f>39*1.75</f>
        <v>68.25</v>
      </c>
      <c r="J221" s="6">
        <f>10300*1.75*I221</f>
        <v>1230206.25</v>
      </c>
      <c r="M221" s="2" t="s">
        <v>19</v>
      </c>
      <c r="N221" s="2" t="s">
        <v>8</v>
      </c>
      <c r="O221" s="1">
        <f>42*1.75</f>
        <v>73.5</v>
      </c>
      <c r="P221" s="6">
        <f>10300*1.75*O221</f>
        <v>1324837.5</v>
      </c>
      <c r="S221" s="2" t="s">
        <v>19</v>
      </c>
      <c r="T221" s="2" t="s">
        <v>8</v>
      </c>
      <c r="U221" s="1">
        <f>51*1.75</f>
        <v>89.25</v>
      </c>
      <c r="V221" s="6">
        <f>10300*1.75*U221</f>
        <v>1608731.25</v>
      </c>
      <c r="Y221" s="2" t="s">
        <v>19</v>
      </c>
      <c r="Z221" s="2" t="s">
        <v>8</v>
      </c>
      <c r="AA221" s="1">
        <f>55*1.75</f>
        <v>96.25</v>
      </c>
      <c r="AB221" s="6">
        <f>10000*1.75*AA221</f>
        <v>1684375</v>
      </c>
    </row>
    <row r="222" spans="1:28" hidden="1" outlineLevel="1">
      <c r="A222" s="2" t="s">
        <v>16</v>
      </c>
      <c r="B222" s="2" t="s">
        <v>10</v>
      </c>
      <c r="C222" s="1">
        <v>1</v>
      </c>
      <c r="D222" s="1">
        <v>180000</v>
      </c>
      <c r="E222" s="4"/>
      <c r="G222" s="2" t="s">
        <v>16</v>
      </c>
      <c r="H222" s="2" t="s">
        <v>10</v>
      </c>
      <c r="I222" s="1">
        <v>1</v>
      </c>
      <c r="J222" s="1">
        <v>180000</v>
      </c>
      <c r="M222" s="2" t="s">
        <v>16</v>
      </c>
      <c r="N222" s="2" t="s">
        <v>10</v>
      </c>
      <c r="O222" s="1">
        <v>1</v>
      </c>
      <c r="P222" s="1">
        <v>180000</v>
      </c>
      <c r="S222" s="2" t="s">
        <v>16</v>
      </c>
      <c r="T222" s="2" t="s">
        <v>10</v>
      </c>
      <c r="U222" s="1">
        <v>1</v>
      </c>
      <c r="V222" s="1">
        <v>180000</v>
      </c>
      <c r="Y222" s="2" t="s">
        <v>16</v>
      </c>
      <c r="Z222" s="2" t="s">
        <v>10</v>
      </c>
      <c r="AA222" s="1">
        <v>1</v>
      </c>
      <c r="AB222" s="1">
        <v>180000</v>
      </c>
    </row>
    <row r="223" spans="1:28" hidden="1" outlineLevel="1">
      <c r="A223" s="2" t="s">
        <v>17</v>
      </c>
      <c r="B223" s="2" t="s">
        <v>10</v>
      </c>
      <c r="C223" s="1"/>
      <c r="D223" s="7">
        <v>871000</v>
      </c>
      <c r="E223" s="22"/>
      <c r="G223" s="2" t="s">
        <v>17</v>
      </c>
      <c r="H223" s="2" t="s">
        <v>10</v>
      </c>
      <c r="I223" s="1"/>
      <c r="J223" s="7">
        <v>871000</v>
      </c>
      <c r="M223" s="2" t="s">
        <v>17</v>
      </c>
      <c r="N223" s="2" t="s">
        <v>10</v>
      </c>
      <c r="O223" s="1"/>
      <c r="P223" s="7">
        <v>871000</v>
      </c>
      <c r="S223" s="2" t="s">
        <v>17</v>
      </c>
      <c r="T223" s="2" t="s">
        <v>10</v>
      </c>
      <c r="U223" s="1"/>
      <c r="V223" s="7">
        <v>871000</v>
      </c>
      <c r="Y223" s="2" t="s">
        <v>17</v>
      </c>
      <c r="Z223" s="2" t="s">
        <v>10</v>
      </c>
      <c r="AA223" s="1"/>
      <c r="AB223" s="7">
        <v>871000</v>
      </c>
    </row>
    <row r="224" spans="1:28" hidden="1" outlineLevel="1">
      <c r="A224" s="2" t="s">
        <v>48</v>
      </c>
      <c r="B224" s="10" t="s">
        <v>50</v>
      </c>
      <c r="C224" s="1"/>
      <c r="D224" s="1">
        <f>SUM(D212:D223)</f>
        <v>5262094.6373075005</v>
      </c>
      <c r="E224" s="4"/>
      <c r="G224" s="2" t="s">
        <v>48</v>
      </c>
      <c r="H224" s="10" t="s">
        <v>50</v>
      </c>
      <c r="I224" s="1"/>
      <c r="J224" s="1">
        <f>SUM(J212:J223)</f>
        <v>5481488.4452541666</v>
      </c>
      <c r="M224" s="2" t="s">
        <v>48</v>
      </c>
      <c r="N224" s="10" t="s">
        <v>50</v>
      </c>
      <c r="O224" s="1"/>
      <c r="P224" s="1">
        <f>SUM(P212:P223)</f>
        <v>5604194.5725874994</v>
      </c>
      <c r="S224" s="2" t="s">
        <v>48</v>
      </c>
      <c r="T224" s="10" t="s">
        <v>50</v>
      </c>
      <c r="U224" s="1"/>
      <c r="V224" s="1">
        <f>SUM(V212:V223)</f>
        <v>5896135.2749875002</v>
      </c>
      <c r="Y224" s="2" t="s">
        <v>48</v>
      </c>
      <c r="Z224" s="10" t="s">
        <v>50</v>
      </c>
      <c r="AA224" s="1"/>
      <c r="AB224" s="1">
        <f>SUM(AB212:AB223)</f>
        <v>5991181.0985874999</v>
      </c>
    </row>
    <row r="225" spans="1:28" hidden="1" outlineLevel="1">
      <c r="A225" s="2" t="s">
        <v>49</v>
      </c>
      <c r="B225" s="10" t="s">
        <v>51</v>
      </c>
      <c r="C225" s="1">
        <v>1.8</v>
      </c>
      <c r="D225" s="1">
        <f>D224*C225</f>
        <v>9471770.3471535016</v>
      </c>
      <c r="E225" s="4"/>
      <c r="G225" s="2" t="s">
        <v>49</v>
      </c>
      <c r="H225" s="10" t="s">
        <v>51</v>
      </c>
      <c r="I225" s="1">
        <v>1.8</v>
      </c>
      <c r="J225" s="1">
        <f>J224*I225</f>
        <v>9866679.2014575005</v>
      </c>
      <c r="M225" s="2" t="s">
        <v>49</v>
      </c>
      <c r="N225" s="10" t="s">
        <v>51</v>
      </c>
      <c r="O225" s="1">
        <v>1.9</v>
      </c>
      <c r="P225" s="1">
        <f>P224*O225</f>
        <v>10647969.687916249</v>
      </c>
      <c r="S225" s="2" t="s">
        <v>49</v>
      </c>
      <c r="T225" s="10" t="s">
        <v>51</v>
      </c>
      <c r="U225" s="1">
        <v>1.9</v>
      </c>
      <c r="V225" s="1">
        <f>V224*U225</f>
        <v>11202657.02247625</v>
      </c>
      <c r="Y225" s="2" t="s">
        <v>49</v>
      </c>
      <c r="Z225" s="10" t="s">
        <v>51</v>
      </c>
      <c r="AA225" s="1">
        <v>100</v>
      </c>
      <c r="AB225" s="1">
        <f>AB224*2</f>
        <v>11982362.197175</v>
      </c>
    </row>
    <row r="226" spans="1:28" hidden="1" outlineLevel="1">
      <c r="A226" s="2" t="s">
        <v>52</v>
      </c>
      <c r="B226" s="10" t="s">
        <v>51</v>
      </c>
      <c r="C226" s="2">
        <v>20</v>
      </c>
      <c r="D226" s="1">
        <f>D225*0.2</f>
        <v>1894354.0694307005</v>
      </c>
      <c r="E226" s="4"/>
      <c r="G226" s="2" t="s">
        <v>52</v>
      </c>
      <c r="H226" s="10" t="s">
        <v>51</v>
      </c>
      <c r="I226" s="2">
        <v>20</v>
      </c>
      <c r="J226" s="1">
        <f>J225*0.2</f>
        <v>1973335.8402915001</v>
      </c>
      <c r="M226" s="2" t="s">
        <v>52</v>
      </c>
      <c r="N226" s="10" t="s">
        <v>51</v>
      </c>
      <c r="O226" s="2">
        <v>20</v>
      </c>
      <c r="P226" s="1">
        <f>P225*0.2</f>
        <v>2129593.93758325</v>
      </c>
      <c r="S226" s="2" t="s">
        <v>52</v>
      </c>
      <c r="T226" s="10" t="s">
        <v>51</v>
      </c>
      <c r="U226" s="2">
        <v>20</v>
      </c>
      <c r="V226" s="1">
        <f>V225*0.2</f>
        <v>2240531.40449525</v>
      </c>
      <c r="Y226" s="2" t="s">
        <v>52</v>
      </c>
      <c r="Z226" s="10" t="s">
        <v>51</v>
      </c>
      <c r="AA226" s="2">
        <v>20</v>
      </c>
      <c r="AB226" s="1">
        <f>AB225*0.2</f>
        <v>2396472.4394350001</v>
      </c>
    </row>
    <row r="227" spans="1:28" collapsed="1">
      <c r="A227" s="2" t="s">
        <v>53</v>
      </c>
      <c r="B227" s="10"/>
      <c r="C227" s="1"/>
      <c r="D227" s="15">
        <f>D225+D226</f>
        <v>11366124.416584201</v>
      </c>
      <c r="E227" s="4"/>
      <c r="G227" s="2" t="s">
        <v>53</v>
      </c>
      <c r="H227" s="10"/>
      <c r="I227" s="1"/>
      <c r="J227" s="15">
        <f>J225+J226</f>
        <v>11840015.041749001</v>
      </c>
      <c r="M227" s="2" t="s">
        <v>53</v>
      </c>
      <c r="N227" s="10"/>
      <c r="O227" s="1"/>
      <c r="P227" s="15">
        <f>P225+P226</f>
        <v>12777563.625499498</v>
      </c>
      <c r="S227" s="2" t="s">
        <v>53</v>
      </c>
      <c r="T227" s="10"/>
      <c r="U227" s="1"/>
      <c r="V227" s="15">
        <f>V225+V226</f>
        <v>13443188.426971501</v>
      </c>
      <c r="Y227" s="2" t="s">
        <v>53</v>
      </c>
      <c r="Z227" s="10"/>
      <c r="AA227" s="1"/>
      <c r="AB227" s="15">
        <f>AB225+AB226</f>
        <v>14378834.636609999</v>
      </c>
    </row>
    <row r="228" spans="1:28">
      <c r="D228" s="36">
        <v>11609000</v>
      </c>
      <c r="J228">
        <v>12248000</v>
      </c>
      <c r="P228">
        <v>12902000</v>
      </c>
      <c r="V228">
        <v>13540000</v>
      </c>
      <c r="AB228">
        <v>14195000</v>
      </c>
    </row>
    <row r="229" spans="1:28">
      <c r="D229" s="36"/>
    </row>
    <row r="230" spans="1:28">
      <c r="D230" s="36"/>
    </row>
    <row r="231" spans="1:28">
      <c r="A231" s="1" t="s">
        <v>44</v>
      </c>
      <c r="B231" s="20" t="s">
        <v>65</v>
      </c>
      <c r="C231" s="20"/>
      <c r="D231" s="20"/>
      <c r="G231" s="1" t="s">
        <v>45</v>
      </c>
      <c r="M231" s="1" t="s">
        <v>46</v>
      </c>
      <c r="S231" s="1" t="s">
        <v>47</v>
      </c>
      <c r="Y231" s="1" t="s">
        <v>59</v>
      </c>
    </row>
    <row r="232" spans="1:28">
      <c r="A232" s="19" t="s">
        <v>0</v>
      </c>
      <c r="B232" s="24" t="s">
        <v>1</v>
      </c>
      <c r="C232" s="24" t="s">
        <v>2</v>
      </c>
      <c r="D232" s="19" t="s">
        <v>3</v>
      </c>
      <c r="G232" s="19" t="s">
        <v>0</v>
      </c>
      <c r="H232" s="19" t="s">
        <v>1</v>
      </c>
      <c r="I232" s="19" t="s">
        <v>2</v>
      </c>
      <c r="J232" s="19" t="s">
        <v>3</v>
      </c>
      <c r="M232" s="19" t="s">
        <v>0</v>
      </c>
      <c r="N232" s="19" t="s">
        <v>1</v>
      </c>
      <c r="O232" s="19" t="s">
        <v>2</v>
      </c>
      <c r="P232" s="19" t="s">
        <v>3</v>
      </c>
      <c r="S232" s="19" t="s">
        <v>0</v>
      </c>
      <c r="T232" s="19" t="s">
        <v>1</v>
      </c>
      <c r="U232" s="19" t="s">
        <v>2</v>
      </c>
      <c r="V232" s="19" t="s">
        <v>3</v>
      </c>
      <c r="Y232" s="19" t="s">
        <v>0</v>
      </c>
      <c r="Z232" s="19" t="s">
        <v>1</v>
      </c>
      <c r="AA232" s="19" t="s">
        <v>2</v>
      </c>
      <c r="AB232" s="19" t="s">
        <v>3</v>
      </c>
    </row>
    <row r="233" spans="1:28" hidden="1" outlineLevel="1">
      <c r="A233" s="1" t="s">
        <v>4</v>
      </c>
      <c r="B233" s="1" t="s">
        <v>8</v>
      </c>
      <c r="C233" s="1">
        <v>11</v>
      </c>
      <c r="D233" s="1">
        <f>9354680/1.2/1000*2.96*C233+(28000*2)</f>
        <v>309823.65066666668</v>
      </c>
      <c r="G233" s="1" t="s">
        <v>4</v>
      </c>
      <c r="H233" s="1" t="s">
        <v>8</v>
      </c>
      <c r="I233" s="1">
        <v>11.5</v>
      </c>
      <c r="J233" s="1">
        <f>9354680/1.2/1000*2.96*I233+(28000*2)</f>
        <v>321361.08933333337</v>
      </c>
      <c r="M233" s="1" t="s">
        <v>4</v>
      </c>
      <c r="N233" s="1" t="s">
        <v>8</v>
      </c>
      <c r="O233" s="1">
        <v>12.5</v>
      </c>
      <c r="P233" s="1">
        <f>9354680/1.2/1000*2.96*O233+(28000*2)</f>
        <v>344435.96666666667</v>
      </c>
      <c r="S233" s="1" t="s">
        <v>4</v>
      </c>
      <c r="T233" s="1" t="s">
        <v>8</v>
      </c>
      <c r="U233" s="1">
        <v>12.5</v>
      </c>
      <c r="V233" s="1">
        <f>9354680/1.2/1000*2.96*U233+(28000*2)</f>
        <v>344435.96666666667</v>
      </c>
      <c r="Y233" s="1" t="s">
        <v>4</v>
      </c>
      <c r="Z233" s="1" t="s">
        <v>8</v>
      </c>
      <c r="AA233" s="1">
        <v>13</v>
      </c>
      <c r="AB233" s="1">
        <f>9354680/1.2/1000*2.96*AA233+(28000*2)</f>
        <v>355973.40533333336</v>
      </c>
    </row>
    <row r="234" spans="1:28" hidden="1" outlineLevel="1">
      <c r="A234" s="1" t="s">
        <v>5</v>
      </c>
      <c r="B234" s="1" t="s">
        <v>8</v>
      </c>
      <c r="C234" s="1">
        <v>4.8</v>
      </c>
      <c r="D234" s="1">
        <f>10874266/1.2/1000*1.48*C234</f>
        <v>64375.654720000006</v>
      </c>
      <c r="G234" s="1" t="s">
        <v>5</v>
      </c>
      <c r="H234" s="1" t="s">
        <v>8</v>
      </c>
      <c r="I234" s="1">
        <v>6</v>
      </c>
      <c r="J234" s="1">
        <f>10874260/1.2/1000*1.48*I234</f>
        <v>80469.524000000005</v>
      </c>
      <c r="M234" s="1" t="s">
        <v>5</v>
      </c>
      <c r="N234" s="1" t="s">
        <v>8</v>
      </c>
      <c r="O234" s="1">
        <v>6</v>
      </c>
      <c r="P234" s="1">
        <f>10874260/1.2/1000*1.48*O234</f>
        <v>80469.524000000005</v>
      </c>
      <c r="S234" s="1" t="s">
        <v>5</v>
      </c>
      <c r="T234" s="1" t="s">
        <v>8</v>
      </c>
      <c r="U234" s="1">
        <v>6.6</v>
      </c>
      <c r="V234" s="1">
        <f>10874260/1.2/1000*1.48*U234</f>
        <v>88516.4764</v>
      </c>
      <c r="Y234" s="1" t="s">
        <v>5</v>
      </c>
      <c r="Z234" s="1" t="s">
        <v>8</v>
      </c>
      <c r="AA234" s="1">
        <v>7</v>
      </c>
      <c r="AB234" s="1">
        <f>10874260/1.2/1000*1.48*AA234</f>
        <v>93881.111333333334</v>
      </c>
    </row>
    <row r="235" spans="1:28" hidden="1" outlineLevel="1">
      <c r="A235" s="1" t="s">
        <v>6</v>
      </c>
      <c r="B235" s="1" t="s">
        <v>8</v>
      </c>
      <c r="C235" s="1"/>
      <c r="D235" s="1">
        <f>9351600/1.2/1000*1.08*C235</f>
        <v>0</v>
      </c>
      <c r="E235" s="4"/>
      <c r="G235" s="1" t="s">
        <v>6</v>
      </c>
      <c r="H235" s="1" t="s">
        <v>8</v>
      </c>
      <c r="I235" s="1"/>
      <c r="J235" s="1">
        <f>9351600/1.2/1000*1.08*I235</f>
        <v>0</v>
      </c>
      <c r="M235" s="1" t="s">
        <v>6</v>
      </c>
      <c r="N235" s="1" t="s">
        <v>8</v>
      </c>
      <c r="O235" s="1"/>
      <c r="P235" s="1">
        <f>9351600/1.2/1000*1.08*O235</f>
        <v>0</v>
      </c>
      <c r="S235" s="1" t="s">
        <v>6</v>
      </c>
      <c r="T235" s="1" t="s">
        <v>8</v>
      </c>
      <c r="U235" s="1"/>
      <c r="V235" s="1">
        <f>9351600/1.2/1000*1.08*U235</f>
        <v>0</v>
      </c>
      <c r="Y235" s="1" t="s">
        <v>6</v>
      </c>
      <c r="Z235" s="1" t="s">
        <v>8</v>
      </c>
      <c r="AA235" s="1"/>
      <c r="AB235" s="1">
        <f>9351600/1.2/1000*1.08*AA235</f>
        <v>0</v>
      </c>
    </row>
    <row r="236" spans="1:28" hidden="1" outlineLevel="1">
      <c r="A236" s="1" t="s">
        <v>7</v>
      </c>
      <c r="B236" s="1" t="s">
        <v>8</v>
      </c>
      <c r="C236" s="1">
        <v>2.0499999999999998</v>
      </c>
      <c r="D236" s="1">
        <f>9819170/1.2/1000*7.13*C236</f>
        <v>119601.58192083334</v>
      </c>
      <c r="E236" s="4"/>
      <c r="G236" s="1" t="s">
        <v>7</v>
      </c>
      <c r="H236" s="1" t="s">
        <v>8</v>
      </c>
      <c r="I236" s="1">
        <v>2.0499999999999998</v>
      </c>
      <c r="J236" s="1">
        <f>9819170/1.2/1000*7.13*I236</f>
        <v>119601.58192083334</v>
      </c>
      <c r="M236" s="1" t="s">
        <v>7</v>
      </c>
      <c r="N236" s="1" t="s">
        <v>8</v>
      </c>
      <c r="O236" s="1">
        <v>2.0499999999999998</v>
      </c>
      <c r="P236" s="1">
        <f>9819170/1.2/1000*7.13*O236</f>
        <v>119601.58192083334</v>
      </c>
      <c r="S236" s="1" t="s">
        <v>7</v>
      </c>
      <c r="T236" s="1" t="s">
        <v>8</v>
      </c>
      <c r="U236" s="1">
        <v>2.0499999999999998</v>
      </c>
      <c r="V236" s="1">
        <f>9819170/1.2/1000*7.13*U236</f>
        <v>119601.58192083334</v>
      </c>
      <c r="Y236" s="1" t="s">
        <v>7</v>
      </c>
      <c r="Z236" s="1" t="s">
        <v>8</v>
      </c>
      <c r="AA236" s="1">
        <v>2.0499999999999998</v>
      </c>
      <c r="AB236" s="1">
        <f>9819170/1.2/1000*7.13*AA236</f>
        <v>119601.58192083334</v>
      </c>
    </row>
    <row r="237" spans="1:28" hidden="1" outlineLevel="1">
      <c r="A237" s="1" t="s">
        <v>20</v>
      </c>
      <c r="B237" s="1" t="s">
        <v>8</v>
      </c>
      <c r="C237" s="1">
        <v>4.3</v>
      </c>
      <c r="D237" s="1">
        <f>C237*16500</f>
        <v>70950</v>
      </c>
      <c r="E237" s="4"/>
      <c r="G237" s="1" t="s">
        <v>20</v>
      </c>
      <c r="H237" s="1" t="s">
        <v>8</v>
      </c>
      <c r="I237" s="1">
        <v>4.3</v>
      </c>
      <c r="J237" s="1">
        <f>I237*16500</f>
        <v>70950</v>
      </c>
      <c r="M237" s="1" t="s">
        <v>20</v>
      </c>
      <c r="N237" s="1" t="s">
        <v>8</v>
      </c>
      <c r="O237" s="1">
        <v>4.3</v>
      </c>
      <c r="P237" s="1">
        <f>O237*16500</f>
        <v>70950</v>
      </c>
      <c r="S237" s="1" t="s">
        <v>20</v>
      </c>
      <c r="T237" s="1" t="s">
        <v>8</v>
      </c>
      <c r="U237" s="1">
        <v>4.3</v>
      </c>
      <c r="V237" s="1">
        <f>U237*16500</f>
        <v>70950</v>
      </c>
      <c r="Y237" s="1" t="s">
        <v>20</v>
      </c>
      <c r="Z237" s="1" t="s">
        <v>8</v>
      </c>
      <c r="AA237" s="1">
        <v>4.3</v>
      </c>
      <c r="AB237" s="1">
        <f>AA237*16500</f>
        <v>70950</v>
      </c>
    </row>
    <row r="238" spans="1:28" hidden="1" outlineLevel="1">
      <c r="A238" s="2" t="s">
        <v>9</v>
      </c>
      <c r="B238" s="2" t="s">
        <v>10</v>
      </c>
      <c r="C238" s="1">
        <v>1</v>
      </c>
      <c r="D238" s="1">
        <f>2076000/1.2</f>
        <v>1730000</v>
      </c>
      <c r="E238" s="4"/>
      <c r="G238" s="2" t="s">
        <v>9</v>
      </c>
      <c r="H238" s="2" t="s">
        <v>10</v>
      </c>
      <c r="I238" s="1">
        <v>1</v>
      </c>
      <c r="J238" s="1">
        <f>2076000/1.2</f>
        <v>1730000</v>
      </c>
      <c r="M238" s="2" t="s">
        <v>9</v>
      </c>
      <c r="N238" s="2" t="s">
        <v>10</v>
      </c>
      <c r="O238" s="1">
        <v>1</v>
      </c>
      <c r="P238" s="1">
        <f>2076000/1.2</f>
        <v>1730000</v>
      </c>
      <c r="S238" s="2" t="s">
        <v>9</v>
      </c>
      <c r="T238" s="2" t="s">
        <v>10</v>
      </c>
      <c r="U238" s="1">
        <v>1</v>
      </c>
      <c r="V238" s="1">
        <f>2076000/1.2</f>
        <v>1730000</v>
      </c>
      <c r="Y238" s="2" t="s">
        <v>9</v>
      </c>
      <c r="Z238" s="2" t="s">
        <v>10</v>
      </c>
      <c r="AA238" s="1">
        <v>1</v>
      </c>
      <c r="AB238" s="1">
        <f>2076000/1.2</f>
        <v>1730000</v>
      </c>
    </row>
    <row r="239" spans="1:28" hidden="1" outlineLevel="1">
      <c r="A239" s="2" t="s">
        <v>11</v>
      </c>
      <c r="B239" s="3"/>
      <c r="C239" s="5"/>
      <c r="D239" s="7">
        <v>120000</v>
      </c>
      <c r="E239" s="22"/>
      <c r="G239" s="2" t="s">
        <v>11</v>
      </c>
      <c r="H239" s="3"/>
      <c r="I239" s="5"/>
      <c r="J239" s="7">
        <v>120000</v>
      </c>
      <c r="M239" s="2" t="s">
        <v>11</v>
      </c>
      <c r="N239" s="3"/>
      <c r="O239" s="5"/>
      <c r="P239" s="7">
        <v>120000</v>
      </c>
      <c r="S239" s="2" t="s">
        <v>11</v>
      </c>
      <c r="T239" s="3"/>
      <c r="U239" s="5"/>
      <c r="V239" s="7">
        <v>120000</v>
      </c>
      <c r="Y239" s="2" t="s">
        <v>11</v>
      </c>
      <c r="Z239" s="3"/>
      <c r="AA239" s="5"/>
      <c r="AB239" s="7">
        <v>120000</v>
      </c>
    </row>
    <row r="240" spans="1:28" hidden="1" outlineLevel="1">
      <c r="A240" s="2" t="s">
        <v>12</v>
      </c>
      <c r="B240" s="3"/>
      <c r="C240" s="5"/>
      <c r="D240" s="7">
        <v>670000</v>
      </c>
      <c r="E240" s="22"/>
      <c r="G240" s="2" t="s">
        <v>12</v>
      </c>
      <c r="H240" s="3"/>
      <c r="I240" s="5"/>
      <c r="J240" s="7">
        <v>670000</v>
      </c>
      <c r="M240" s="2" t="s">
        <v>12</v>
      </c>
      <c r="N240" s="3"/>
      <c r="O240" s="5"/>
      <c r="P240" s="7">
        <v>670000</v>
      </c>
      <c r="S240" s="2" t="s">
        <v>12</v>
      </c>
      <c r="T240" s="3"/>
      <c r="U240" s="5"/>
      <c r="V240" s="7">
        <v>670000</v>
      </c>
      <c r="Y240" s="2" t="s">
        <v>12</v>
      </c>
      <c r="Z240" s="3"/>
      <c r="AA240" s="5"/>
      <c r="AB240" s="7">
        <v>670000</v>
      </c>
    </row>
    <row r="241" spans="1:28" hidden="1" outlineLevel="1">
      <c r="A241" s="2" t="s">
        <v>13</v>
      </c>
      <c r="B241" s="1" t="s">
        <v>14</v>
      </c>
      <c r="C241" s="5">
        <f>(0.2*C233)+(0.13*C87)+(0.08*C235)+(0.32*C236)+(0.1*C237)</f>
        <v>3.5524999999999998</v>
      </c>
      <c r="D241" s="1">
        <f>C241*25000</f>
        <v>88812.5</v>
      </c>
      <c r="E241" s="4"/>
      <c r="G241" s="2" t="s">
        <v>13</v>
      </c>
      <c r="H241" s="1" t="s">
        <v>14</v>
      </c>
      <c r="I241" s="5">
        <f>(0.2*I233)+(0.13*I87)+(0.08*I235)+(0.32*I236)+(0.1*I237)</f>
        <v>3.6525000000000003</v>
      </c>
      <c r="J241" s="1">
        <f>I241*25000</f>
        <v>91312.500000000015</v>
      </c>
      <c r="M241" s="2" t="s">
        <v>13</v>
      </c>
      <c r="N241" s="1" t="s">
        <v>14</v>
      </c>
      <c r="O241" s="5">
        <f>(0.2*O233)+(0.13*O87)+(0.08*O235)+(0.32*O236)+(0.1*O237)</f>
        <v>3.8524999999999996</v>
      </c>
      <c r="P241" s="1">
        <f>O241*25000</f>
        <v>96312.499999999985</v>
      </c>
      <c r="S241" s="2" t="s">
        <v>13</v>
      </c>
      <c r="T241" s="1" t="s">
        <v>14</v>
      </c>
      <c r="U241" s="5">
        <f>(0.2*U233)+(0.13*U87)+(0.08*U235)+(0.32*U236)+(0.1*U237)</f>
        <v>3.8524999999999996</v>
      </c>
      <c r="V241" s="1">
        <f>U241*25000</f>
        <v>96312.499999999985</v>
      </c>
      <c r="Y241" s="2" t="s">
        <v>13</v>
      </c>
      <c r="Z241" s="1" t="s">
        <v>14</v>
      </c>
      <c r="AA241" s="5">
        <f>(0.2*AA233)+(0.13*AA87)+(0.08*AA235)+(0.32*AA236)+(0.1*AA237)</f>
        <v>3.9525000000000001</v>
      </c>
      <c r="AB241" s="1">
        <f>AA241*25000</f>
        <v>98812.5</v>
      </c>
    </row>
    <row r="242" spans="1:28" hidden="1" outlineLevel="1">
      <c r="A242" s="2" t="s">
        <v>19</v>
      </c>
      <c r="B242" s="2" t="s">
        <v>8</v>
      </c>
      <c r="C242" s="1">
        <f>33*1.75</f>
        <v>57.75</v>
      </c>
      <c r="D242" s="6">
        <f>10135*1.75*C242</f>
        <v>1024268.4375</v>
      </c>
      <c r="E242" s="4"/>
      <c r="G242" s="2" t="s">
        <v>19</v>
      </c>
      <c r="H242" s="2" t="s">
        <v>8</v>
      </c>
      <c r="I242" s="1">
        <f>39*1.75</f>
        <v>68.25</v>
      </c>
      <c r="J242" s="6">
        <f>10135*1.75*I242</f>
        <v>1210499.0625</v>
      </c>
      <c r="M242" s="2" t="s">
        <v>19</v>
      </c>
      <c r="N242" s="2" t="s">
        <v>8</v>
      </c>
      <c r="O242" s="1">
        <f>42*1.75</f>
        <v>73.5</v>
      </c>
      <c r="P242" s="6">
        <f>10135*1.75*O242</f>
        <v>1303614.375</v>
      </c>
      <c r="S242" s="2" t="s">
        <v>19</v>
      </c>
      <c r="T242" s="2" t="s">
        <v>8</v>
      </c>
      <c r="U242" s="1">
        <f>51*1.75</f>
        <v>89.25</v>
      </c>
      <c r="V242" s="6">
        <f>10135*1.75*U242</f>
        <v>1582960.3125</v>
      </c>
      <c r="Y242" s="2" t="s">
        <v>19</v>
      </c>
      <c r="Z242" s="2" t="s">
        <v>8</v>
      </c>
      <c r="AA242" s="1">
        <f>55*1.75</f>
        <v>96.25</v>
      </c>
      <c r="AB242" s="6">
        <f>10135*1.75*AA242</f>
        <v>1707114.0625</v>
      </c>
    </row>
    <row r="243" spans="1:28" hidden="1" outlineLevel="1">
      <c r="A243" s="2" t="s">
        <v>16</v>
      </c>
      <c r="B243" s="2" t="s">
        <v>10</v>
      </c>
      <c r="C243" s="1">
        <v>1</v>
      </c>
      <c r="D243" s="1">
        <v>180000</v>
      </c>
      <c r="E243" s="4"/>
      <c r="G243" s="2" t="s">
        <v>16</v>
      </c>
      <c r="H243" s="2" t="s">
        <v>10</v>
      </c>
      <c r="I243" s="1">
        <v>1</v>
      </c>
      <c r="J243" s="1">
        <v>180000</v>
      </c>
      <c r="M243" s="2" t="s">
        <v>16</v>
      </c>
      <c r="N243" s="2" t="s">
        <v>10</v>
      </c>
      <c r="O243" s="1">
        <v>1</v>
      </c>
      <c r="P243" s="1">
        <v>180000</v>
      </c>
      <c r="S243" s="2" t="s">
        <v>16</v>
      </c>
      <c r="T243" s="2" t="s">
        <v>10</v>
      </c>
      <c r="U243" s="1">
        <v>1</v>
      </c>
      <c r="V243" s="1">
        <v>180000</v>
      </c>
      <c r="Y243" s="2" t="s">
        <v>16</v>
      </c>
      <c r="Z243" s="2" t="s">
        <v>10</v>
      </c>
      <c r="AA243" s="1">
        <v>1</v>
      </c>
      <c r="AB243" s="1">
        <v>180000</v>
      </c>
    </row>
    <row r="244" spans="1:28" hidden="1" outlineLevel="1">
      <c r="A244" s="2" t="s">
        <v>17</v>
      </c>
      <c r="B244" s="2" t="s">
        <v>10</v>
      </c>
      <c r="C244" s="1"/>
      <c r="D244" s="7">
        <v>871000</v>
      </c>
      <c r="E244" s="22"/>
      <c r="G244" s="2" t="s">
        <v>17</v>
      </c>
      <c r="H244" s="2" t="s">
        <v>10</v>
      </c>
      <c r="I244" s="1"/>
      <c r="J244" s="7">
        <v>871000</v>
      </c>
      <c r="M244" s="2" t="s">
        <v>17</v>
      </c>
      <c r="N244" s="2" t="s">
        <v>10</v>
      </c>
      <c r="O244" s="1"/>
      <c r="P244" s="7">
        <v>871000</v>
      </c>
      <c r="S244" s="2" t="s">
        <v>17</v>
      </c>
      <c r="T244" s="2" t="s">
        <v>10</v>
      </c>
      <c r="U244" s="1"/>
      <c r="V244" s="7">
        <v>871000</v>
      </c>
      <c r="Y244" s="2" t="s">
        <v>17</v>
      </c>
      <c r="Z244" s="2" t="s">
        <v>10</v>
      </c>
      <c r="AA244" s="1"/>
      <c r="AB244" s="7">
        <v>871000</v>
      </c>
    </row>
    <row r="245" spans="1:28" hidden="1" outlineLevel="1">
      <c r="A245" s="2" t="s">
        <v>48</v>
      </c>
      <c r="B245" s="10" t="s">
        <v>50</v>
      </c>
      <c r="C245" s="1"/>
      <c r="D245" s="1">
        <f>SUM(D233:D244)</f>
        <v>5248831.8248075005</v>
      </c>
      <c r="E245" s="4"/>
      <c r="G245" s="2" t="s">
        <v>48</v>
      </c>
      <c r="H245" s="10" t="s">
        <v>50</v>
      </c>
      <c r="I245" s="1"/>
      <c r="J245" s="1">
        <f>SUM(J233:J244)</f>
        <v>5465193.7577541666</v>
      </c>
      <c r="M245" s="2" t="s">
        <v>48</v>
      </c>
      <c r="N245" s="10" t="s">
        <v>50</v>
      </c>
      <c r="O245" s="1"/>
      <c r="P245" s="1">
        <f>SUM(P233:P244)</f>
        <v>5586383.9475874994</v>
      </c>
      <c r="S245" s="2" t="s">
        <v>48</v>
      </c>
      <c r="T245" s="10" t="s">
        <v>50</v>
      </c>
      <c r="U245" s="1"/>
      <c r="V245" s="1">
        <f>SUM(V233:V244)</f>
        <v>5873776.8374875002</v>
      </c>
      <c r="Y245" s="2" t="s">
        <v>48</v>
      </c>
      <c r="Z245" s="10" t="s">
        <v>50</v>
      </c>
      <c r="AA245" s="1"/>
      <c r="AB245" s="1">
        <f>SUM(AB233:AB244)</f>
        <v>6017332.6610874999</v>
      </c>
    </row>
    <row r="246" spans="1:28" hidden="1" outlineLevel="1">
      <c r="A246" s="2" t="s">
        <v>49</v>
      </c>
      <c r="B246" s="10" t="s">
        <v>51</v>
      </c>
      <c r="C246" s="1">
        <v>1.8</v>
      </c>
      <c r="D246" s="1">
        <f>D245*C246</f>
        <v>9447897.2846535016</v>
      </c>
      <c r="E246" s="4"/>
      <c r="G246" s="2" t="s">
        <v>49</v>
      </c>
      <c r="H246" s="10" t="s">
        <v>51</v>
      </c>
      <c r="I246" s="1">
        <v>1.8</v>
      </c>
      <c r="J246" s="1">
        <f>J245*I246</f>
        <v>9837348.7639575005</v>
      </c>
      <c r="M246" s="2" t="s">
        <v>49</v>
      </c>
      <c r="N246" s="10" t="s">
        <v>51</v>
      </c>
      <c r="O246" s="1">
        <v>1.9</v>
      </c>
      <c r="P246" s="1">
        <f>P245*O246</f>
        <v>10614129.500416249</v>
      </c>
      <c r="S246" s="2" t="s">
        <v>49</v>
      </c>
      <c r="T246" s="10" t="s">
        <v>51</v>
      </c>
      <c r="U246" s="1">
        <v>1.9</v>
      </c>
      <c r="V246" s="1">
        <f>V245*U246</f>
        <v>11160175.99122625</v>
      </c>
      <c r="Y246" s="2" t="s">
        <v>49</v>
      </c>
      <c r="Z246" s="10" t="s">
        <v>51</v>
      </c>
      <c r="AA246" s="1">
        <v>100</v>
      </c>
      <c r="AB246" s="1">
        <f>AB245*2</f>
        <v>12034665.322175</v>
      </c>
    </row>
    <row r="247" spans="1:28" hidden="1" outlineLevel="1">
      <c r="A247" s="2" t="s">
        <v>52</v>
      </c>
      <c r="B247" s="10" t="s">
        <v>51</v>
      </c>
      <c r="C247" s="2">
        <v>20</v>
      </c>
      <c r="D247" s="1">
        <f>D246*0.2</f>
        <v>1889579.4569307005</v>
      </c>
      <c r="E247" s="4"/>
      <c r="G247" s="2" t="s">
        <v>52</v>
      </c>
      <c r="H247" s="10" t="s">
        <v>51</v>
      </c>
      <c r="I247" s="2">
        <v>20</v>
      </c>
      <c r="J247" s="1">
        <f>J246*0.2</f>
        <v>1967469.7527915002</v>
      </c>
      <c r="M247" s="2" t="s">
        <v>52</v>
      </c>
      <c r="N247" s="10" t="s">
        <v>51</v>
      </c>
      <c r="O247" s="2">
        <v>20</v>
      </c>
      <c r="P247" s="1">
        <f>P246*0.2</f>
        <v>2122825.9000832499</v>
      </c>
      <c r="S247" s="2" t="s">
        <v>52</v>
      </c>
      <c r="T247" s="10" t="s">
        <v>51</v>
      </c>
      <c r="U247" s="2">
        <v>20</v>
      </c>
      <c r="V247" s="1">
        <f>V246*0.2</f>
        <v>2232035.1982452502</v>
      </c>
      <c r="Y247" s="2" t="s">
        <v>52</v>
      </c>
      <c r="Z247" s="10" t="s">
        <v>51</v>
      </c>
      <c r="AA247" s="2">
        <v>20</v>
      </c>
      <c r="AB247" s="1">
        <f>AB246*0.2</f>
        <v>2406933.0644350001</v>
      </c>
    </row>
    <row r="248" spans="1:28" collapsed="1">
      <c r="A248" s="2" t="s">
        <v>53</v>
      </c>
      <c r="B248" s="10"/>
      <c r="C248" s="1"/>
      <c r="D248" s="15">
        <f>D246+D247</f>
        <v>11337476.741584202</v>
      </c>
      <c r="E248" s="4"/>
      <c r="G248" s="2" t="s">
        <v>53</v>
      </c>
      <c r="H248" s="10"/>
      <c r="I248" s="1"/>
      <c r="J248" s="15">
        <f>J246+J247</f>
        <v>11804818.516749</v>
      </c>
      <c r="M248" s="2" t="s">
        <v>53</v>
      </c>
      <c r="N248" s="10"/>
      <c r="O248" s="1"/>
      <c r="P248" s="15">
        <f>P246+P247</f>
        <v>12736955.400499498</v>
      </c>
      <c r="S248" s="2" t="s">
        <v>53</v>
      </c>
      <c r="T248" s="10"/>
      <c r="U248" s="1"/>
      <c r="V248" s="15">
        <f>V246+V247</f>
        <v>13392211.1894715</v>
      </c>
      <c r="Y248" s="2" t="s">
        <v>53</v>
      </c>
      <c r="Z248" s="10"/>
      <c r="AA248" s="1"/>
      <c r="AB248" s="15">
        <f>AB246+AB247</f>
        <v>14441598.386609999</v>
      </c>
    </row>
    <row r="249" spans="1:28">
      <c r="D249" s="36">
        <v>11609000</v>
      </c>
      <c r="J249">
        <v>12248000</v>
      </c>
      <c r="P249">
        <v>12902000</v>
      </c>
      <c r="V249">
        <v>13540000</v>
      </c>
      <c r="AB249">
        <v>14195000</v>
      </c>
    </row>
    <row r="250" spans="1:28">
      <c r="E250" s="4"/>
    </row>
    <row r="252" spans="1:28">
      <c r="A252" s="1" t="s">
        <v>23</v>
      </c>
      <c r="B252" s="20" t="s">
        <v>62</v>
      </c>
      <c r="C252" s="20"/>
      <c r="D252" s="20"/>
      <c r="E252" s="20"/>
      <c r="G252" s="1" t="s">
        <v>40</v>
      </c>
      <c r="M252" s="1" t="s">
        <v>21</v>
      </c>
      <c r="S252" s="1" t="s">
        <v>41</v>
      </c>
      <c r="Y252" s="1" t="s">
        <v>43</v>
      </c>
    </row>
    <row r="253" spans="1:28">
      <c r="A253" s="19" t="s">
        <v>0</v>
      </c>
      <c r="B253" s="24" t="s">
        <v>1</v>
      </c>
      <c r="C253" s="24" t="s">
        <v>2</v>
      </c>
      <c r="D253" s="24" t="s">
        <v>3</v>
      </c>
      <c r="E253" s="23"/>
      <c r="G253" s="19" t="s">
        <v>0</v>
      </c>
      <c r="H253" s="19" t="s">
        <v>1</v>
      </c>
      <c r="I253" s="19" t="s">
        <v>2</v>
      </c>
      <c r="J253" s="19" t="s">
        <v>3</v>
      </c>
      <c r="M253" s="19" t="s">
        <v>0</v>
      </c>
      <c r="N253" s="19" t="s">
        <v>1</v>
      </c>
      <c r="O253" s="19" t="s">
        <v>2</v>
      </c>
      <c r="P253" s="19" t="s">
        <v>3</v>
      </c>
      <c r="S253" s="19" t="s">
        <v>0</v>
      </c>
      <c r="T253" s="19" t="s">
        <v>1</v>
      </c>
      <c r="U253" s="19" t="s">
        <v>2</v>
      </c>
      <c r="V253" s="19" t="s">
        <v>3</v>
      </c>
      <c r="Y253" s="19" t="s">
        <v>0</v>
      </c>
      <c r="Z253" s="19" t="s">
        <v>1</v>
      </c>
      <c r="AA253" s="19" t="s">
        <v>2</v>
      </c>
      <c r="AB253" s="19" t="s">
        <v>3</v>
      </c>
    </row>
    <row r="254" spans="1:28" ht="15" hidden="1" customHeight="1" outlineLevel="1">
      <c r="A254" s="1" t="s">
        <v>4</v>
      </c>
      <c r="B254" s="1" t="s">
        <v>8</v>
      </c>
      <c r="C254" s="1">
        <v>13</v>
      </c>
      <c r="D254" s="1">
        <f>9354680/1.2/1000*2.96*C254+(28000*2)</f>
        <v>355973.40533333336</v>
      </c>
      <c r="E254" s="4"/>
      <c r="G254" s="1" t="s">
        <v>4</v>
      </c>
      <c r="H254" s="1" t="s">
        <v>8</v>
      </c>
      <c r="I254" s="1">
        <v>13</v>
      </c>
      <c r="J254" s="1">
        <f>9354680/1.2/1000*2.96*I254+(28000*2)</f>
        <v>355973.40533333336</v>
      </c>
      <c r="M254" s="1" t="s">
        <v>4</v>
      </c>
      <c r="N254" s="1" t="s">
        <v>8</v>
      </c>
      <c r="O254" s="1">
        <v>14</v>
      </c>
      <c r="P254" s="1">
        <f>9354680/1.2/1000*2.96*O254+(28000*2)</f>
        <v>379048.28266666667</v>
      </c>
      <c r="S254" s="1" t="s">
        <v>4</v>
      </c>
      <c r="T254" s="1" t="s">
        <v>8</v>
      </c>
      <c r="U254" s="1">
        <v>14</v>
      </c>
      <c r="V254" s="1">
        <f>9354680/1.2/1000*2.96*U254+(28000*2)</f>
        <v>379048.28266666667</v>
      </c>
      <c r="Y254" s="1" t="s">
        <v>4</v>
      </c>
      <c r="Z254" s="1" t="s">
        <v>8</v>
      </c>
      <c r="AA254" s="1">
        <v>15</v>
      </c>
      <c r="AB254" s="1">
        <f>9354680/1.2/1000*2.96*AA254+(28000*2)</f>
        <v>402123.16000000003</v>
      </c>
    </row>
    <row r="255" spans="1:28" ht="15" hidden="1" customHeight="1" outlineLevel="1">
      <c r="A255" s="1" t="s">
        <v>5</v>
      </c>
      <c r="B255" s="1" t="s">
        <v>8</v>
      </c>
      <c r="C255" s="1">
        <v>4.8</v>
      </c>
      <c r="D255" s="1">
        <f>10874266/1.2/1000*1.48*C255</f>
        <v>64375.654720000006</v>
      </c>
      <c r="E255" s="4"/>
      <c r="G255" s="1" t="s">
        <v>5</v>
      </c>
      <c r="H255" s="1" t="s">
        <v>8</v>
      </c>
      <c r="I255" s="1">
        <v>6</v>
      </c>
      <c r="J255" s="1">
        <f>10874260/1.2/1000*1.48*I255</f>
        <v>80469.524000000005</v>
      </c>
      <c r="M255" s="1" t="s">
        <v>5</v>
      </c>
      <c r="N255" s="1" t="s">
        <v>8</v>
      </c>
      <c r="O255" s="1">
        <v>6</v>
      </c>
      <c r="P255" s="1">
        <f>10874260/1.2/1000*1.48*O255</f>
        <v>80469.524000000005</v>
      </c>
      <c r="S255" s="1" t="s">
        <v>5</v>
      </c>
      <c r="T255" s="1" t="s">
        <v>8</v>
      </c>
      <c r="U255" s="1">
        <v>6.6</v>
      </c>
      <c r="V255" s="1">
        <f>10874260/1.2/1000*1.48*U255</f>
        <v>88516.4764</v>
      </c>
      <c r="Y255" s="1" t="s">
        <v>5</v>
      </c>
      <c r="Z255" s="1" t="s">
        <v>8</v>
      </c>
      <c r="AA255" s="1">
        <v>7</v>
      </c>
      <c r="AB255" s="1">
        <f>10874260/1.2/1000*1.48*AA255</f>
        <v>93881.111333333334</v>
      </c>
    </row>
    <row r="256" spans="1:28" ht="15" hidden="1" customHeight="1" outlineLevel="1">
      <c r="A256" s="1" t="s">
        <v>6</v>
      </c>
      <c r="B256" s="1" t="s">
        <v>8</v>
      </c>
      <c r="C256" s="1"/>
      <c r="D256" s="1">
        <f>9351600/1.2/1000*1.08*C256</f>
        <v>0</v>
      </c>
      <c r="E256" s="4"/>
      <c r="G256" s="1" t="s">
        <v>6</v>
      </c>
      <c r="H256" s="1" t="s">
        <v>8</v>
      </c>
      <c r="I256" s="1"/>
      <c r="J256" s="1">
        <f>9351600/1.2/1000*1.08*I256</f>
        <v>0</v>
      </c>
      <c r="M256" s="1" t="s">
        <v>6</v>
      </c>
      <c r="N256" s="1" t="s">
        <v>8</v>
      </c>
      <c r="O256" s="1"/>
      <c r="P256" s="1">
        <f>9351600/1.2/1000*1.08*O256</f>
        <v>0</v>
      </c>
      <c r="S256" s="1" t="s">
        <v>6</v>
      </c>
      <c r="T256" s="1" t="s">
        <v>8</v>
      </c>
      <c r="U256" s="1"/>
      <c r="V256" s="1">
        <f>9351600/1.2/1000*1.08*U256</f>
        <v>0</v>
      </c>
      <c r="Y256" s="1" t="s">
        <v>6</v>
      </c>
      <c r="Z256" s="1" t="s">
        <v>8</v>
      </c>
      <c r="AA256" s="1"/>
      <c r="AB256" s="1">
        <f>9351600/1.2/1000*1.08*AA256</f>
        <v>0</v>
      </c>
    </row>
    <row r="257" spans="1:28" ht="15" hidden="1" customHeight="1" outlineLevel="1">
      <c r="A257" s="1" t="s">
        <v>7</v>
      </c>
      <c r="B257" s="1" t="s">
        <v>8</v>
      </c>
      <c r="C257" s="1">
        <v>2.0499999999999998</v>
      </c>
      <c r="D257" s="1">
        <f>9819170/1.2/1000*7.13*C257</f>
        <v>119601.58192083334</v>
      </c>
      <c r="E257" s="4"/>
      <c r="G257" s="1" t="s">
        <v>7</v>
      </c>
      <c r="H257" s="1" t="s">
        <v>8</v>
      </c>
      <c r="I257" s="1">
        <v>2.0499999999999998</v>
      </c>
      <c r="J257" s="1">
        <f>9819170/1.2/1000*7.13*I257</f>
        <v>119601.58192083334</v>
      </c>
      <c r="M257" s="1" t="s">
        <v>7</v>
      </c>
      <c r="N257" s="1" t="s">
        <v>8</v>
      </c>
      <c r="O257" s="1">
        <v>2.0499999999999998</v>
      </c>
      <c r="P257" s="1">
        <f>9819170/1.2/1000*7.13*O257</f>
        <v>119601.58192083334</v>
      </c>
      <c r="S257" s="1" t="s">
        <v>7</v>
      </c>
      <c r="T257" s="1" t="s">
        <v>8</v>
      </c>
      <c r="U257" s="1">
        <v>2.0499999999999998</v>
      </c>
      <c r="V257" s="1">
        <f>9819170/1.2/1000*7.13*U257</f>
        <v>119601.58192083334</v>
      </c>
      <c r="Y257" s="1" t="s">
        <v>7</v>
      </c>
      <c r="Z257" s="1" t="s">
        <v>8</v>
      </c>
      <c r="AA257" s="1">
        <v>2.0499999999999998</v>
      </c>
      <c r="AB257" s="1">
        <f>9819170/1.2/1000*7.13*AA257</f>
        <v>119601.58192083334</v>
      </c>
    </row>
    <row r="258" spans="1:28" ht="15" hidden="1" customHeight="1" outlineLevel="1">
      <c r="A258" s="1" t="s">
        <v>20</v>
      </c>
      <c r="B258" s="1" t="s">
        <v>8</v>
      </c>
      <c r="C258" s="1">
        <v>4.3</v>
      </c>
      <c r="D258" s="1">
        <f>C258*16500</f>
        <v>70950</v>
      </c>
      <c r="E258" s="4"/>
      <c r="G258" s="1" t="s">
        <v>20</v>
      </c>
      <c r="H258" s="1" t="s">
        <v>8</v>
      </c>
      <c r="I258" s="1">
        <v>4.3</v>
      </c>
      <c r="J258" s="1">
        <f>I258*16500</f>
        <v>70950</v>
      </c>
      <c r="M258" s="1" t="s">
        <v>20</v>
      </c>
      <c r="N258" s="1" t="s">
        <v>8</v>
      </c>
      <c r="O258" s="1">
        <v>4.3</v>
      </c>
      <c r="P258" s="1">
        <f>O258*16500</f>
        <v>70950</v>
      </c>
      <c r="S258" s="1" t="s">
        <v>20</v>
      </c>
      <c r="T258" s="1" t="s">
        <v>8</v>
      </c>
      <c r="U258" s="1">
        <v>4.3</v>
      </c>
      <c r="V258" s="1">
        <f>U258*16500</f>
        <v>70950</v>
      </c>
      <c r="Y258" s="1" t="s">
        <v>20</v>
      </c>
      <c r="Z258" s="1" t="s">
        <v>8</v>
      </c>
      <c r="AA258" s="1">
        <v>4.3</v>
      </c>
      <c r="AB258" s="1">
        <f>AA258*16500</f>
        <v>70950</v>
      </c>
    </row>
    <row r="259" spans="1:28" ht="15" hidden="1" customHeight="1" outlineLevel="1">
      <c r="A259" s="2" t="s">
        <v>9</v>
      </c>
      <c r="B259" s="2" t="s">
        <v>10</v>
      </c>
      <c r="C259" s="1">
        <v>1</v>
      </c>
      <c r="D259" s="1">
        <f>2076000/1.2</f>
        <v>1730000</v>
      </c>
      <c r="E259" s="4"/>
      <c r="G259" s="2" t="s">
        <v>9</v>
      </c>
      <c r="H259" s="2" t="s">
        <v>10</v>
      </c>
      <c r="I259" s="1">
        <v>1</v>
      </c>
      <c r="J259" s="1">
        <f>2076000/1.2</f>
        <v>1730000</v>
      </c>
      <c r="M259" s="2" t="s">
        <v>9</v>
      </c>
      <c r="N259" s="2" t="s">
        <v>10</v>
      </c>
      <c r="O259" s="1">
        <v>1</v>
      </c>
      <c r="P259" s="1">
        <f>2076000/1.2</f>
        <v>1730000</v>
      </c>
      <c r="S259" s="2" t="s">
        <v>9</v>
      </c>
      <c r="T259" s="2" t="s">
        <v>10</v>
      </c>
      <c r="U259" s="1">
        <v>1</v>
      </c>
      <c r="V259" s="1">
        <f>2076000/1.2</f>
        <v>1730000</v>
      </c>
      <c r="Y259" s="2" t="s">
        <v>9</v>
      </c>
      <c r="Z259" s="2" t="s">
        <v>10</v>
      </c>
      <c r="AA259" s="1">
        <v>1</v>
      </c>
      <c r="AB259" s="1">
        <f>2076000/1.2</f>
        <v>1730000</v>
      </c>
    </row>
    <row r="260" spans="1:28" ht="15" hidden="1" customHeight="1" outlineLevel="1">
      <c r="A260" s="2" t="s">
        <v>11</v>
      </c>
      <c r="B260" s="3"/>
      <c r="C260" s="5"/>
      <c r="D260" s="7">
        <v>120000</v>
      </c>
      <c r="E260" s="22"/>
      <c r="G260" s="2" t="s">
        <v>11</v>
      </c>
      <c r="H260" s="3"/>
      <c r="I260" s="5"/>
      <c r="J260" s="7">
        <v>120000</v>
      </c>
      <c r="M260" s="2" t="s">
        <v>11</v>
      </c>
      <c r="N260" s="3"/>
      <c r="O260" s="5"/>
      <c r="P260" s="7">
        <v>120000</v>
      </c>
      <c r="S260" s="2" t="s">
        <v>11</v>
      </c>
      <c r="T260" s="3"/>
      <c r="U260" s="5"/>
      <c r="V260" s="7">
        <v>120000</v>
      </c>
      <c r="Y260" s="2" t="s">
        <v>11</v>
      </c>
      <c r="Z260" s="3"/>
      <c r="AA260" s="5"/>
      <c r="AB260" s="7">
        <v>120000</v>
      </c>
    </row>
    <row r="261" spans="1:28" ht="15" hidden="1" customHeight="1" outlineLevel="1">
      <c r="A261" s="2" t="s">
        <v>12</v>
      </c>
      <c r="B261" s="3"/>
      <c r="C261" s="5"/>
      <c r="D261" s="7">
        <v>670000</v>
      </c>
      <c r="E261" s="22"/>
      <c r="G261" s="2" t="s">
        <v>12</v>
      </c>
      <c r="H261" s="3"/>
      <c r="I261" s="5"/>
      <c r="J261" s="7">
        <v>670000</v>
      </c>
      <c r="M261" s="2" t="s">
        <v>12</v>
      </c>
      <c r="N261" s="3"/>
      <c r="O261" s="5"/>
      <c r="P261" s="7">
        <v>670000</v>
      </c>
      <c r="S261" s="2" t="s">
        <v>12</v>
      </c>
      <c r="T261" s="3"/>
      <c r="U261" s="5"/>
      <c r="V261" s="7">
        <v>670000</v>
      </c>
      <c r="Y261" s="2" t="s">
        <v>12</v>
      </c>
      <c r="Z261" s="3"/>
      <c r="AA261" s="5"/>
      <c r="AB261" s="7">
        <v>670000</v>
      </c>
    </row>
    <row r="262" spans="1:28" ht="15" hidden="1" customHeight="1" outlineLevel="1">
      <c r="A262" s="2" t="s">
        <v>13</v>
      </c>
      <c r="B262" s="1" t="s">
        <v>14</v>
      </c>
      <c r="C262" s="5">
        <f>(0.2*C254)+(0.13*C174)+(0.08*C256)+(0.32*C257)+(0.1*C258)</f>
        <v>3.8160000000000003</v>
      </c>
      <c r="D262" s="1">
        <f>C262*25000</f>
        <v>95400</v>
      </c>
      <c r="E262" s="4"/>
      <c r="G262" s="2" t="s">
        <v>13</v>
      </c>
      <c r="H262" s="1" t="s">
        <v>14</v>
      </c>
      <c r="I262" s="5">
        <f>(0.2*I254)+(0.13*I174)+(0.08*I256)+(0.32*I257)+(0.1*I258)</f>
        <v>3.8160000000000003</v>
      </c>
      <c r="J262" s="1">
        <f>I262*25000</f>
        <v>95400</v>
      </c>
      <c r="M262" s="2" t="s">
        <v>13</v>
      </c>
      <c r="N262" s="1" t="s">
        <v>14</v>
      </c>
      <c r="O262" s="5">
        <f>(0.2*O254)+(0.13*O174)+(0.08*O256)+(0.32*O257)+(0.1*O258)</f>
        <v>4.016</v>
      </c>
      <c r="P262" s="1">
        <f>O262*25000</f>
        <v>100400</v>
      </c>
      <c r="S262" s="2" t="s">
        <v>13</v>
      </c>
      <c r="T262" s="1" t="s">
        <v>14</v>
      </c>
      <c r="U262" s="5">
        <f>(0.2*U254)+(0.13*U174)+(0.08*U256)+(0.32*U257)+(0.1*U258)</f>
        <v>4.016</v>
      </c>
      <c r="V262" s="1">
        <f>U262*25000</f>
        <v>100400</v>
      </c>
      <c r="Y262" s="2" t="s">
        <v>13</v>
      </c>
      <c r="Z262" s="1" t="s">
        <v>14</v>
      </c>
      <c r="AA262" s="5">
        <f>(0.2*AA254)+(0.13*AA174)+(0.08*AA256)+(0.32*AA257)+(0.1*AA258)</f>
        <v>4.2159999999999993</v>
      </c>
      <c r="AB262" s="1">
        <f>AA262*25000</f>
        <v>105399.99999999999</v>
      </c>
    </row>
    <row r="263" spans="1:28" ht="15" hidden="1" customHeight="1" outlineLevel="1">
      <c r="A263" s="2" t="s">
        <v>19</v>
      </c>
      <c r="B263" s="2" t="s">
        <v>8</v>
      </c>
      <c r="C263" s="1">
        <f>33*2</f>
        <v>66</v>
      </c>
      <c r="D263" s="6">
        <f>10300*2*C263</f>
        <v>1359600</v>
      </c>
      <c r="E263" s="4"/>
      <c r="G263" s="2" t="s">
        <v>19</v>
      </c>
      <c r="H263" s="2" t="s">
        <v>8</v>
      </c>
      <c r="I263" s="1">
        <f>39*2</f>
        <v>78</v>
      </c>
      <c r="J263" s="6">
        <f>10300*2*I263</f>
        <v>1606800</v>
      </c>
      <c r="M263" s="2" t="s">
        <v>19</v>
      </c>
      <c r="N263" s="2" t="s">
        <v>8</v>
      </c>
      <c r="O263" s="1">
        <f>42*2</f>
        <v>84</v>
      </c>
      <c r="P263" s="6">
        <f>10300*2*O263</f>
        <v>1730400</v>
      </c>
      <c r="S263" s="2" t="s">
        <v>19</v>
      </c>
      <c r="T263" s="2" t="s">
        <v>8</v>
      </c>
      <c r="U263" s="1">
        <f>49*2</f>
        <v>98</v>
      </c>
      <c r="V263" s="6">
        <f>10300*2*U263</f>
        <v>2018800</v>
      </c>
      <c r="Y263" s="2" t="s">
        <v>19</v>
      </c>
      <c r="Z263" s="2" t="s">
        <v>8</v>
      </c>
      <c r="AA263" s="1">
        <f>55*2</f>
        <v>110</v>
      </c>
      <c r="AB263" s="6">
        <f>10000*2*AA263</f>
        <v>2200000</v>
      </c>
    </row>
    <row r="264" spans="1:28" ht="15" hidden="1" customHeight="1" outlineLevel="1">
      <c r="A264" s="2" t="s">
        <v>16</v>
      </c>
      <c r="B264" s="2" t="s">
        <v>10</v>
      </c>
      <c r="C264" s="1">
        <v>1</v>
      </c>
      <c r="D264" s="1">
        <v>180000</v>
      </c>
      <c r="E264" s="4"/>
      <c r="G264" s="2" t="s">
        <v>16</v>
      </c>
      <c r="H264" s="2" t="s">
        <v>10</v>
      </c>
      <c r="I264" s="1">
        <v>1</v>
      </c>
      <c r="J264" s="1">
        <v>180000</v>
      </c>
      <c r="M264" s="2" t="s">
        <v>16</v>
      </c>
      <c r="N264" s="2" t="s">
        <v>10</v>
      </c>
      <c r="O264" s="1">
        <v>1</v>
      </c>
      <c r="P264" s="1">
        <v>180000</v>
      </c>
      <c r="S264" s="2" t="s">
        <v>16</v>
      </c>
      <c r="T264" s="2" t="s">
        <v>10</v>
      </c>
      <c r="U264" s="1">
        <v>1</v>
      </c>
      <c r="V264" s="1">
        <v>180000</v>
      </c>
      <c r="Y264" s="2" t="s">
        <v>16</v>
      </c>
      <c r="Z264" s="2" t="s">
        <v>10</v>
      </c>
      <c r="AA264" s="1">
        <v>1</v>
      </c>
      <c r="AB264" s="1">
        <v>180000</v>
      </c>
    </row>
    <row r="265" spans="1:28" ht="15" hidden="1" customHeight="1" outlineLevel="1">
      <c r="A265" s="2" t="s">
        <v>17</v>
      </c>
      <c r="B265" s="2" t="s">
        <v>10</v>
      </c>
      <c r="C265" s="1"/>
      <c r="D265" s="7">
        <v>871000</v>
      </c>
      <c r="E265" s="22"/>
      <c r="G265" s="2" t="s">
        <v>17</v>
      </c>
      <c r="H265" s="2" t="s">
        <v>10</v>
      </c>
      <c r="I265" s="1"/>
      <c r="J265" s="7">
        <v>871000</v>
      </c>
      <c r="M265" s="2" t="s">
        <v>17</v>
      </c>
      <c r="N265" s="2" t="s">
        <v>10</v>
      </c>
      <c r="O265" s="1"/>
      <c r="P265" s="7">
        <v>871000</v>
      </c>
      <c r="S265" s="2" t="s">
        <v>17</v>
      </c>
      <c r="T265" s="2" t="s">
        <v>10</v>
      </c>
      <c r="U265" s="1"/>
      <c r="V265" s="7">
        <v>871000</v>
      </c>
      <c r="Y265" s="2" t="s">
        <v>17</v>
      </c>
      <c r="Z265" s="2" t="s">
        <v>10</v>
      </c>
      <c r="AA265" s="1"/>
      <c r="AB265" s="7">
        <v>871000</v>
      </c>
    </row>
    <row r="266" spans="1:28" ht="15" hidden="1" customHeight="1" outlineLevel="1">
      <c r="A266" s="2" t="s">
        <v>48</v>
      </c>
      <c r="B266" s="10" t="s">
        <v>50</v>
      </c>
      <c r="C266" s="1"/>
      <c r="D266" s="1">
        <f>SUM(D254:D265)</f>
        <v>5636900.641974167</v>
      </c>
      <c r="E266" s="4"/>
      <c r="G266" s="2" t="s">
        <v>48</v>
      </c>
      <c r="H266" s="10" t="s">
        <v>50</v>
      </c>
      <c r="I266" s="1"/>
      <c r="J266" s="1">
        <f>SUM(J254:J265)</f>
        <v>5900194.5112541672</v>
      </c>
      <c r="M266" s="2" t="s">
        <v>48</v>
      </c>
      <c r="N266" s="10" t="s">
        <v>50</v>
      </c>
      <c r="O266" s="1"/>
      <c r="P266" s="1">
        <f>SUM(P254:P265)</f>
        <v>6051869.3885875</v>
      </c>
      <c r="S266" s="2" t="s">
        <v>48</v>
      </c>
      <c r="T266" s="10" t="s">
        <v>50</v>
      </c>
      <c r="U266" s="1"/>
      <c r="V266" s="1">
        <f>SUM(V254:V265)</f>
        <v>6348316.3409874998</v>
      </c>
      <c r="Y266" s="2" t="s">
        <v>48</v>
      </c>
      <c r="Z266" s="10" t="s">
        <v>50</v>
      </c>
      <c r="AA266" s="1"/>
      <c r="AB266" s="1">
        <f>SUM(AB254:AB265)</f>
        <v>6562955.8532541664</v>
      </c>
    </row>
    <row r="267" spans="1:28" ht="15" hidden="1" customHeight="1" outlineLevel="1">
      <c r="A267" s="2" t="s">
        <v>49</v>
      </c>
      <c r="B267" s="10" t="s">
        <v>51</v>
      </c>
      <c r="C267" s="1">
        <v>1.8</v>
      </c>
      <c r="D267" s="1">
        <f>D266*C267</f>
        <v>10146421.155553501</v>
      </c>
      <c r="E267" s="4"/>
      <c r="G267" s="2" t="s">
        <v>49</v>
      </c>
      <c r="H267" s="10" t="s">
        <v>51</v>
      </c>
      <c r="I267" s="1">
        <v>1.8</v>
      </c>
      <c r="J267" s="1">
        <f>I267*J266</f>
        <v>10620350.120257501</v>
      </c>
      <c r="M267" s="2" t="s">
        <v>49</v>
      </c>
      <c r="N267" s="10" t="s">
        <v>51</v>
      </c>
      <c r="O267" s="1">
        <v>1.9</v>
      </c>
      <c r="P267" s="1">
        <f>P266*O267</f>
        <v>11498551.838316249</v>
      </c>
      <c r="S267" s="2" t="s">
        <v>49</v>
      </c>
      <c r="T267" s="10" t="s">
        <v>51</v>
      </c>
      <c r="U267" s="1">
        <v>1.9</v>
      </c>
      <c r="V267" s="1">
        <f>V266*U267</f>
        <v>12061801.047876248</v>
      </c>
      <c r="Y267" s="2" t="s">
        <v>49</v>
      </c>
      <c r="Z267" s="10" t="s">
        <v>51</v>
      </c>
      <c r="AA267" s="1">
        <v>1.9</v>
      </c>
      <c r="AB267" s="1">
        <f>AB266*AA267</f>
        <v>12469616.121182915</v>
      </c>
    </row>
    <row r="268" spans="1:28" ht="15" hidden="1" customHeight="1" outlineLevel="1">
      <c r="A268" s="2" t="s">
        <v>52</v>
      </c>
      <c r="B268" s="10" t="s">
        <v>51</v>
      </c>
      <c r="C268" s="2">
        <v>20</v>
      </c>
      <c r="D268" s="1">
        <f>D267*0.2</f>
        <v>2029284.2311107004</v>
      </c>
      <c r="E268" s="4"/>
      <c r="G268" s="2" t="s">
        <v>52</v>
      </c>
      <c r="H268" s="10" t="s">
        <v>51</v>
      </c>
      <c r="I268" s="2">
        <v>20</v>
      </c>
      <c r="J268" s="1">
        <f>J267*0.2</f>
        <v>2124070.0240515</v>
      </c>
      <c r="M268" s="2" t="s">
        <v>52</v>
      </c>
      <c r="N268" s="10" t="s">
        <v>51</v>
      </c>
      <c r="O268" s="2">
        <v>20</v>
      </c>
      <c r="P268" s="1">
        <f>P267*0.2</f>
        <v>2299710.3676632498</v>
      </c>
      <c r="S268" s="2" t="s">
        <v>52</v>
      </c>
      <c r="T268" s="10" t="s">
        <v>51</v>
      </c>
      <c r="U268" s="2">
        <v>20</v>
      </c>
      <c r="V268" s="1">
        <f>V267*0.2</f>
        <v>2412360.2095752498</v>
      </c>
      <c r="Y268" s="2" t="s">
        <v>52</v>
      </c>
      <c r="Z268" s="10" t="s">
        <v>51</v>
      </c>
      <c r="AA268" s="2">
        <v>20</v>
      </c>
      <c r="AB268" s="1">
        <f>AB267*0.2</f>
        <v>2493923.2242365829</v>
      </c>
    </row>
    <row r="269" spans="1:28" collapsed="1">
      <c r="A269" s="2" t="s">
        <v>53</v>
      </c>
      <c r="B269" s="10"/>
      <c r="C269" s="1"/>
      <c r="D269" s="15">
        <f>D267+D268</f>
        <v>12175705.386664201</v>
      </c>
      <c r="E269" s="4"/>
      <c r="G269" s="2" t="s">
        <v>53</v>
      </c>
      <c r="H269" s="10"/>
      <c r="I269" s="1"/>
      <c r="J269" s="15">
        <f>J267+J268</f>
        <v>12744420.144309001</v>
      </c>
      <c r="M269" s="2" t="s">
        <v>53</v>
      </c>
      <c r="N269" s="10"/>
      <c r="O269" s="1"/>
      <c r="P269" s="15">
        <f>P267+P268</f>
        <v>13798262.205979498</v>
      </c>
      <c r="S269" s="2" t="s">
        <v>53</v>
      </c>
      <c r="T269" s="10"/>
      <c r="U269" s="1"/>
      <c r="V269" s="15">
        <f>V267+V268</f>
        <v>14474161.257451497</v>
      </c>
      <c r="Y269" s="2" t="s">
        <v>53</v>
      </c>
      <c r="Z269" s="10"/>
      <c r="AA269" s="1"/>
      <c r="AB269" s="15">
        <f>AB267+AB268</f>
        <v>14963539.345419498</v>
      </c>
    </row>
    <row r="270" spans="1:28">
      <c r="A270" s="29"/>
      <c r="B270" s="30"/>
      <c r="C270" s="4"/>
      <c r="D270" s="29"/>
      <c r="E270" s="4"/>
      <c r="M270" s="29"/>
      <c r="N270" s="30"/>
      <c r="O270" s="4"/>
      <c r="S270" s="29"/>
      <c r="T270" s="30"/>
      <c r="U270" s="4"/>
      <c r="Y270" s="29"/>
      <c r="Z270" s="30"/>
      <c r="AA270" s="4"/>
    </row>
    <row r="271" spans="1:28">
      <c r="A271" s="29"/>
      <c r="B271" s="30"/>
      <c r="C271" s="4"/>
      <c r="D271" s="29"/>
      <c r="E271" s="4"/>
      <c r="M271" s="29"/>
      <c r="N271" s="30"/>
      <c r="O271" s="4"/>
      <c r="S271" s="29"/>
      <c r="T271" s="30"/>
      <c r="U271" s="4"/>
      <c r="Y271" s="29"/>
      <c r="Z271" s="30"/>
      <c r="AA271" s="4"/>
    </row>
    <row r="272" spans="1:28">
      <c r="A272" s="1" t="s">
        <v>23</v>
      </c>
      <c r="B272" s="20" t="s">
        <v>65</v>
      </c>
      <c r="C272" s="20"/>
      <c r="D272" s="20"/>
      <c r="E272" s="20"/>
      <c r="G272" s="1" t="s">
        <v>40</v>
      </c>
      <c r="M272" s="1" t="s">
        <v>21</v>
      </c>
      <c r="S272" s="1" t="s">
        <v>41</v>
      </c>
      <c r="Y272" s="1" t="s">
        <v>43</v>
      </c>
    </row>
    <row r="273" spans="1:28">
      <c r="A273" s="19" t="s">
        <v>0</v>
      </c>
      <c r="B273" s="24" t="s">
        <v>1</v>
      </c>
      <c r="C273" s="24" t="s">
        <v>2</v>
      </c>
      <c r="D273" s="24" t="s">
        <v>3</v>
      </c>
      <c r="E273" s="23"/>
      <c r="G273" s="19" t="s">
        <v>0</v>
      </c>
      <c r="H273" s="19" t="s">
        <v>1</v>
      </c>
      <c r="I273" s="19" t="s">
        <v>2</v>
      </c>
      <c r="J273" s="19" t="s">
        <v>3</v>
      </c>
      <c r="M273" s="19" t="s">
        <v>0</v>
      </c>
      <c r="N273" s="19" t="s">
        <v>1</v>
      </c>
      <c r="O273" s="19" t="s">
        <v>2</v>
      </c>
      <c r="P273" s="19" t="s">
        <v>3</v>
      </c>
      <c r="S273" s="19" t="s">
        <v>0</v>
      </c>
      <c r="T273" s="19" t="s">
        <v>1</v>
      </c>
      <c r="U273" s="19" t="s">
        <v>2</v>
      </c>
      <c r="V273" s="19" t="s">
        <v>3</v>
      </c>
      <c r="Y273" s="19" t="s">
        <v>0</v>
      </c>
      <c r="Z273" s="19" t="s">
        <v>1</v>
      </c>
      <c r="AA273" s="19" t="s">
        <v>2</v>
      </c>
      <c r="AB273" s="19" t="s">
        <v>3</v>
      </c>
    </row>
    <row r="274" spans="1:28" ht="15" hidden="1" customHeight="1" outlineLevel="1">
      <c r="A274" s="1" t="s">
        <v>4</v>
      </c>
      <c r="B274" s="1" t="s">
        <v>8</v>
      </c>
      <c r="C274" s="1">
        <v>13</v>
      </c>
      <c r="D274" s="1">
        <f>9354680/1.2/1000*2.96*C274+(28000*2)</f>
        <v>355973.40533333336</v>
      </c>
      <c r="E274" s="4"/>
      <c r="G274" s="1" t="s">
        <v>4</v>
      </c>
      <c r="H274" s="1" t="s">
        <v>8</v>
      </c>
      <c r="I274" s="1">
        <v>13</v>
      </c>
      <c r="J274" s="1">
        <f>9354680/1.2/1000*2.96*I274+(28000*2)</f>
        <v>355973.40533333336</v>
      </c>
      <c r="M274" s="1" t="s">
        <v>4</v>
      </c>
      <c r="N274" s="1" t="s">
        <v>8</v>
      </c>
      <c r="O274" s="1">
        <v>14</v>
      </c>
      <c r="P274" s="1">
        <f>9354680/1.2/1000*2.96*O274+(28000*2)</f>
        <v>379048.28266666667</v>
      </c>
      <c r="S274" s="1" t="s">
        <v>4</v>
      </c>
      <c r="T274" s="1" t="s">
        <v>8</v>
      </c>
      <c r="U274" s="1">
        <v>14</v>
      </c>
      <c r="V274" s="1">
        <f>9354680/1.2/1000*2.96*U274+(28000*2)</f>
        <v>379048.28266666667</v>
      </c>
      <c r="Y274" s="1" t="s">
        <v>4</v>
      </c>
      <c r="Z274" s="1" t="s">
        <v>8</v>
      </c>
      <c r="AA274" s="1">
        <v>15</v>
      </c>
      <c r="AB274" s="1">
        <f>9354680/1.2/1000*2.96*AA274+(28000*2)</f>
        <v>402123.16000000003</v>
      </c>
    </row>
    <row r="275" spans="1:28" ht="15" hidden="1" customHeight="1" outlineLevel="1">
      <c r="A275" s="1" t="s">
        <v>5</v>
      </c>
      <c r="B275" s="1" t="s">
        <v>8</v>
      </c>
      <c r="C275" s="1">
        <v>4.8</v>
      </c>
      <c r="D275" s="1">
        <f>10874266/1.2/1000*1.48*C275</f>
        <v>64375.654720000006</v>
      </c>
      <c r="E275" s="4"/>
      <c r="G275" s="1" t="s">
        <v>5</v>
      </c>
      <c r="H275" s="1" t="s">
        <v>8</v>
      </c>
      <c r="I275" s="1">
        <v>6</v>
      </c>
      <c r="J275" s="1">
        <f>10874260/1.2/1000*1.48*I275</f>
        <v>80469.524000000005</v>
      </c>
      <c r="M275" s="1" t="s">
        <v>5</v>
      </c>
      <c r="N275" s="1" t="s">
        <v>8</v>
      </c>
      <c r="O275" s="1">
        <v>6</v>
      </c>
      <c r="P275" s="1">
        <f>10874260/1.2/1000*1.48*O275</f>
        <v>80469.524000000005</v>
      </c>
      <c r="S275" s="1" t="s">
        <v>5</v>
      </c>
      <c r="T275" s="1" t="s">
        <v>8</v>
      </c>
      <c r="U275" s="1">
        <v>6.6</v>
      </c>
      <c r="V275" s="1">
        <f>10874260/1.2/1000*1.48*U275</f>
        <v>88516.4764</v>
      </c>
      <c r="Y275" s="1" t="s">
        <v>5</v>
      </c>
      <c r="Z275" s="1" t="s">
        <v>8</v>
      </c>
      <c r="AA275" s="1">
        <v>7</v>
      </c>
      <c r="AB275" s="1">
        <f>10874260/1.2/1000*1.48*AA275</f>
        <v>93881.111333333334</v>
      </c>
    </row>
    <row r="276" spans="1:28" ht="15" hidden="1" customHeight="1" outlineLevel="1">
      <c r="A276" s="1" t="s">
        <v>6</v>
      </c>
      <c r="B276" s="1" t="s">
        <v>8</v>
      </c>
      <c r="C276" s="1"/>
      <c r="D276" s="1">
        <f>9351600/1.2/1000*1.08*C276</f>
        <v>0</v>
      </c>
      <c r="E276" s="4"/>
      <c r="G276" s="1" t="s">
        <v>6</v>
      </c>
      <c r="H276" s="1" t="s">
        <v>8</v>
      </c>
      <c r="I276" s="1"/>
      <c r="J276" s="1">
        <f>9351600/1.2/1000*1.08*I276</f>
        <v>0</v>
      </c>
      <c r="M276" s="1" t="s">
        <v>6</v>
      </c>
      <c r="N276" s="1" t="s">
        <v>8</v>
      </c>
      <c r="O276" s="1"/>
      <c r="P276" s="1">
        <f>9351600/1.2/1000*1.08*O276</f>
        <v>0</v>
      </c>
      <c r="S276" s="1" t="s">
        <v>6</v>
      </c>
      <c r="T276" s="1" t="s">
        <v>8</v>
      </c>
      <c r="U276" s="1"/>
      <c r="V276" s="1">
        <f>9351600/1.2/1000*1.08*U276</f>
        <v>0</v>
      </c>
      <c r="Y276" s="1" t="s">
        <v>6</v>
      </c>
      <c r="Z276" s="1" t="s">
        <v>8</v>
      </c>
      <c r="AA276" s="1"/>
      <c r="AB276" s="1">
        <f>9351600/1.2/1000*1.08*AA276</f>
        <v>0</v>
      </c>
    </row>
    <row r="277" spans="1:28" ht="15" hidden="1" customHeight="1" outlineLevel="1">
      <c r="A277" s="1" t="s">
        <v>7</v>
      </c>
      <c r="B277" s="1" t="s">
        <v>8</v>
      </c>
      <c r="C277" s="1">
        <v>2.0499999999999998</v>
      </c>
      <c r="D277" s="1">
        <f>9819170/1.2/1000*7.13*C277</f>
        <v>119601.58192083334</v>
      </c>
      <c r="E277" s="4"/>
      <c r="G277" s="1" t="s">
        <v>7</v>
      </c>
      <c r="H277" s="1" t="s">
        <v>8</v>
      </c>
      <c r="I277" s="1">
        <v>2.0499999999999998</v>
      </c>
      <c r="J277" s="1">
        <f>9819170/1.2/1000*7.13*I277</f>
        <v>119601.58192083334</v>
      </c>
      <c r="M277" s="1" t="s">
        <v>7</v>
      </c>
      <c r="N277" s="1" t="s">
        <v>8</v>
      </c>
      <c r="O277" s="1">
        <v>2.0499999999999998</v>
      </c>
      <c r="P277" s="1">
        <f>9819170/1.2/1000*7.13*O277</f>
        <v>119601.58192083334</v>
      </c>
      <c r="S277" s="1" t="s">
        <v>7</v>
      </c>
      <c r="T277" s="1" t="s">
        <v>8</v>
      </c>
      <c r="U277" s="1">
        <v>2.0499999999999998</v>
      </c>
      <c r="V277" s="1">
        <f>9819170/1.2/1000*7.13*U277</f>
        <v>119601.58192083334</v>
      </c>
      <c r="Y277" s="1" t="s">
        <v>7</v>
      </c>
      <c r="Z277" s="1" t="s">
        <v>8</v>
      </c>
      <c r="AA277" s="1">
        <v>2.0499999999999998</v>
      </c>
      <c r="AB277" s="1">
        <f>9819170/1.2/1000*7.13*AA277</f>
        <v>119601.58192083334</v>
      </c>
    </row>
    <row r="278" spans="1:28" ht="15" hidden="1" customHeight="1" outlineLevel="1">
      <c r="A278" s="1" t="s">
        <v>20</v>
      </c>
      <c r="B278" s="1" t="s">
        <v>8</v>
      </c>
      <c r="C278" s="1">
        <v>4.3</v>
      </c>
      <c r="D278" s="1">
        <f>C278*16500</f>
        <v>70950</v>
      </c>
      <c r="E278" s="4"/>
      <c r="G278" s="1" t="s">
        <v>20</v>
      </c>
      <c r="H278" s="1" t="s">
        <v>8</v>
      </c>
      <c r="I278" s="1">
        <v>4.3</v>
      </c>
      <c r="J278" s="1">
        <f>I278*16500</f>
        <v>70950</v>
      </c>
      <c r="M278" s="1" t="s">
        <v>20</v>
      </c>
      <c r="N278" s="1" t="s">
        <v>8</v>
      </c>
      <c r="O278" s="1">
        <v>4.3</v>
      </c>
      <c r="P278" s="1">
        <f>O278*16500</f>
        <v>70950</v>
      </c>
      <c r="S278" s="1" t="s">
        <v>20</v>
      </c>
      <c r="T278" s="1" t="s">
        <v>8</v>
      </c>
      <c r="U278" s="1">
        <v>4.3</v>
      </c>
      <c r="V278" s="1">
        <f>U278*16500</f>
        <v>70950</v>
      </c>
      <c r="Y278" s="1" t="s">
        <v>20</v>
      </c>
      <c r="Z278" s="1" t="s">
        <v>8</v>
      </c>
      <c r="AA278" s="1">
        <v>4.3</v>
      </c>
      <c r="AB278" s="1">
        <f>AA278*16500</f>
        <v>70950</v>
      </c>
    </row>
    <row r="279" spans="1:28" ht="15" hidden="1" customHeight="1" outlineLevel="1">
      <c r="A279" s="2" t="s">
        <v>9</v>
      </c>
      <c r="B279" s="2" t="s">
        <v>10</v>
      </c>
      <c r="C279" s="1">
        <v>1</v>
      </c>
      <c r="D279" s="1">
        <f>2076000/1.2</f>
        <v>1730000</v>
      </c>
      <c r="E279" s="4"/>
      <c r="G279" s="2" t="s">
        <v>9</v>
      </c>
      <c r="H279" s="2" t="s">
        <v>10</v>
      </c>
      <c r="I279" s="1">
        <v>1</v>
      </c>
      <c r="J279" s="1">
        <f>2076000/1.2</f>
        <v>1730000</v>
      </c>
      <c r="M279" s="2" t="s">
        <v>9</v>
      </c>
      <c r="N279" s="2" t="s">
        <v>10</v>
      </c>
      <c r="O279" s="1">
        <v>1</v>
      </c>
      <c r="P279" s="1">
        <f>2076000/1.2</f>
        <v>1730000</v>
      </c>
      <c r="S279" s="2" t="s">
        <v>9</v>
      </c>
      <c r="T279" s="2" t="s">
        <v>10</v>
      </c>
      <c r="U279" s="1">
        <v>1</v>
      </c>
      <c r="V279" s="1">
        <f>2076000/1.2</f>
        <v>1730000</v>
      </c>
      <c r="Y279" s="2" t="s">
        <v>9</v>
      </c>
      <c r="Z279" s="2" t="s">
        <v>10</v>
      </c>
      <c r="AA279" s="1">
        <v>1</v>
      </c>
      <c r="AB279" s="1">
        <f>2076000/1.2</f>
        <v>1730000</v>
      </c>
    </row>
    <row r="280" spans="1:28" ht="15" hidden="1" customHeight="1" outlineLevel="1">
      <c r="A280" s="2" t="s">
        <v>11</v>
      </c>
      <c r="B280" s="3"/>
      <c r="C280" s="5"/>
      <c r="D280" s="7">
        <v>120000</v>
      </c>
      <c r="E280" s="22"/>
      <c r="G280" s="2" t="s">
        <v>11</v>
      </c>
      <c r="H280" s="3"/>
      <c r="I280" s="5"/>
      <c r="J280" s="7">
        <v>120000</v>
      </c>
      <c r="M280" s="2" t="s">
        <v>11</v>
      </c>
      <c r="N280" s="3"/>
      <c r="O280" s="5"/>
      <c r="P280" s="7">
        <v>120000</v>
      </c>
      <c r="S280" s="2" t="s">
        <v>11</v>
      </c>
      <c r="T280" s="3"/>
      <c r="U280" s="5"/>
      <c r="V280" s="7">
        <v>120000</v>
      </c>
      <c r="Y280" s="2" t="s">
        <v>11</v>
      </c>
      <c r="Z280" s="3"/>
      <c r="AA280" s="5"/>
      <c r="AB280" s="7">
        <v>120000</v>
      </c>
    </row>
    <row r="281" spans="1:28" ht="15" hidden="1" customHeight="1" outlineLevel="1">
      <c r="A281" s="2" t="s">
        <v>12</v>
      </c>
      <c r="B281" s="3"/>
      <c r="C281" s="5"/>
      <c r="D281" s="7">
        <v>670000</v>
      </c>
      <c r="E281" s="22"/>
      <c r="G281" s="2" t="s">
        <v>12</v>
      </c>
      <c r="H281" s="3"/>
      <c r="I281" s="5"/>
      <c r="J281" s="7">
        <v>670000</v>
      </c>
      <c r="M281" s="2" t="s">
        <v>12</v>
      </c>
      <c r="N281" s="3"/>
      <c r="O281" s="5"/>
      <c r="P281" s="7">
        <v>670000</v>
      </c>
      <c r="S281" s="2" t="s">
        <v>12</v>
      </c>
      <c r="T281" s="3"/>
      <c r="U281" s="5"/>
      <c r="V281" s="7">
        <v>670000</v>
      </c>
      <c r="Y281" s="2" t="s">
        <v>12</v>
      </c>
      <c r="Z281" s="3"/>
      <c r="AA281" s="5"/>
      <c r="AB281" s="7">
        <v>670000</v>
      </c>
    </row>
    <row r="282" spans="1:28" ht="15" hidden="1" customHeight="1" outlineLevel="1">
      <c r="A282" s="2" t="s">
        <v>13</v>
      </c>
      <c r="B282" s="1" t="s">
        <v>14</v>
      </c>
      <c r="C282" s="5">
        <f>(0.2*C274)+(0.13*C194)+(0.08*C276)+(0.32*C277)+(0.1*C278)</f>
        <v>4.2449999999999992</v>
      </c>
      <c r="D282" s="1">
        <f>C282*25000</f>
        <v>106124.99999999999</v>
      </c>
      <c r="E282" s="4"/>
      <c r="G282" s="2" t="s">
        <v>13</v>
      </c>
      <c r="H282" s="1" t="s">
        <v>14</v>
      </c>
      <c r="I282" s="5">
        <f>(0.2*I274)+(0.13*I194)+(0.08*I276)+(0.32*I277)+(0.1*I278)</f>
        <v>4.2449999999999992</v>
      </c>
      <c r="J282" s="1">
        <f>I282*25000</f>
        <v>106124.99999999999</v>
      </c>
      <c r="M282" s="2" t="s">
        <v>13</v>
      </c>
      <c r="N282" s="1" t="s">
        <v>14</v>
      </c>
      <c r="O282" s="5">
        <f>(0.2*O274)+(0.13*O194)+(0.08*O276)+(0.32*O277)+(0.1*O278)</f>
        <v>4.4449999999999994</v>
      </c>
      <c r="P282" s="1">
        <f>O282*25000</f>
        <v>111124.99999999999</v>
      </c>
      <c r="S282" s="2" t="s">
        <v>13</v>
      </c>
      <c r="T282" s="1" t="s">
        <v>14</v>
      </c>
      <c r="U282" s="5">
        <f>(0.2*U274)+(0.13*U194)+(0.08*U276)+(0.32*U277)+(0.1*U278)</f>
        <v>4.4449999999999994</v>
      </c>
      <c r="V282" s="1">
        <f>U282*25000</f>
        <v>111124.99999999999</v>
      </c>
      <c r="Y282" s="2" t="s">
        <v>13</v>
      </c>
      <c r="Z282" s="1" t="s">
        <v>14</v>
      </c>
      <c r="AA282" s="5">
        <f>(0.2*AA274)+(0.13*AA194)+(0.08*AA276)+(0.32*AA277)+(0.1*AA278)</f>
        <v>4.6449999999999996</v>
      </c>
      <c r="AB282" s="1">
        <f>AA282*25000</f>
        <v>116124.99999999999</v>
      </c>
    </row>
    <row r="283" spans="1:28" ht="15" hidden="1" customHeight="1" outlineLevel="1">
      <c r="A283" s="2" t="s">
        <v>19</v>
      </c>
      <c r="B283" s="2" t="s">
        <v>8</v>
      </c>
      <c r="C283" s="1">
        <f>33*2</f>
        <v>66</v>
      </c>
      <c r="D283" s="6">
        <f>10135*2*C283</f>
        <v>1337820</v>
      </c>
      <c r="E283" s="4"/>
      <c r="G283" s="2" t="s">
        <v>19</v>
      </c>
      <c r="H283" s="2" t="s">
        <v>8</v>
      </c>
      <c r="I283" s="1">
        <f>39*2</f>
        <v>78</v>
      </c>
      <c r="J283" s="6">
        <f>10135*2*I283</f>
        <v>1581060</v>
      </c>
      <c r="M283" s="2" t="s">
        <v>19</v>
      </c>
      <c r="N283" s="2" t="s">
        <v>8</v>
      </c>
      <c r="O283" s="1">
        <f>42*2</f>
        <v>84</v>
      </c>
      <c r="P283" s="6">
        <f>10135*2*O283</f>
        <v>1702680</v>
      </c>
      <c r="S283" s="2" t="s">
        <v>19</v>
      </c>
      <c r="T283" s="2" t="s">
        <v>8</v>
      </c>
      <c r="U283" s="1">
        <f>49*2</f>
        <v>98</v>
      </c>
      <c r="V283" s="6">
        <f>10135*2*U283</f>
        <v>1986460</v>
      </c>
      <c r="Y283" s="2" t="s">
        <v>19</v>
      </c>
      <c r="Z283" s="2" t="s">
        <v>8</v>
      </c>
      <c r="AA283" s="1">
        <f>55*2</f>
        <v>110</v>
      </c>
      <c r="AB283" s="6">
        <f>10135*2*AA283</f>
        <v>2229700</v>
      </c>
    </row>
    <row r="284" spans="1:28" ht="15" hidden="1" customHeight="1" outlineLevel="1">
      <c r="A284" s="2" t="s">
        <v>16</v>
      </c>
      <c r="B284" s="2" t="s">
        <v>10</v>
      </c>
      <c r="C284" s="1">
        <v>1</v>
      </c>
      <c r="D284" s="1">
        <v>180000</v>
      </c>
      <c r="E284" s="4"/>
      <c r="G284" s="2" t="s">
        <v>16</v>
      </c>
      <c r="H284" s="2" t="s">
        <v>10</v>
      </c>
      <c r="I284" s="1">
        <v>1</v>
      </c>
      <c r="J284" s="1">
        <v>180000</v>
      </c>
      <c r="M284" s="2" t="s">
        <v>16</v>
      </c>
      <c r="N284" s="2" t="s">
        <v>10</v>
      </c>
      <c r="O284" s="1">
        <v>1</v>
      </c>
      <c r="P284" s="1">
        <v>180000</v>
      </c>
      <c r="S284" s="2" t="s">
        <v>16</v>
      </c>
      <c r="T284" s="2" t="s">
        <v>10</v>
      </c>
      <c r="U284" s="1">
        <v>1</v>
      </c>
      <c r="V284" s="1">
        <v>180000</v>
      </c>
      <c r="Y284" s="2" t="s">
        <v>16</v>
      </c>
      <c r="Z284" s="2" t="s">
        <v>10</v>
      </c>
      <c r="AA284" s="1">
        <v>1</v>
      </c>
      <c r="AB284" s="1">
        <v>180000</v>
      </c>
    </row>
    <row r="285" spans="1:28" ht="15" hidden="1" customHeight="1" outlineLevel="1">
      <c r="A285" s="2" t="s">
        <v>17</v>
      </c>
      <c r="B285" s="2" t="s">
        <v>10</v>
      </c>
      <c r="C285" s="1"/>
      <c r="D285" s="7">
        <v>871000</v>
      </c>
      <c r="E285" s="22"/>
      <c r="G285" s="2" t="s">
        <v>17</v>
      </c>
      <c r="H285" s="2" t="s">
        <v>10</v>
      </c>
      <c r="I285" s="1"/>
      <c r="J285" s="7">
        <v>871000</v>
      </c>
      <c r="M285" s="2" t="s">
        <v>17</v>
      </c>
      <c r="N285" s="2" t="s">
        <v>10</v>
      </c>
      <c r="O285" s="1"/>
      <c r="P285" s="7">
        <v>871000</v>
      </c>
      <c r="S285" s="2" t="s">
        <v>17</v>
      </c>
      <c r="T285" s="2" t="s">
        <v>10</v>
      </c>
      <c r="U285" s="1"/>
      <c r="V285" s="7">
        <v>871000</v>
      </c>
      <c r="Y285" s="2" t="s">
        <v>17</v>
      </c>
      <c r="Z285" s="2" t="s">
        <v>10</v>
      </c>
      <c r="AA285" s="1"/>
      <c r="AB285" s="7">
        <v>871000</v>
      </c>
    </row>
    <row r="286" spans="1:28" ht="15" hidden="1" customHeight="1" outlineLevel="1">
      <c r="A286" s="2" t="s">
        <v>48</v>
      </c>
      <c r="B286" s="10" t="s">
        <v>50</v>
      </c>
      <c r="C286" s="1"/>
      <c r="D286" s="1">
        <f>SUM(D274:D285)</f>
        <v>5625845.641974167</v>
      </c>
      <c r="E286" s="4"/>
      <c r="G286" s="2" t="s">
        <v>48</v>
      </c>
      <c r="H286" s="10" t="s">
        <v>50</v>
      </c>
      <c r="I286" s="1"/>
      <c r="J286" s="1">
        <f>SUM(J274:J285)</f>
        <v>5885179.5112541672</v>
      </c>
      <c r="M286" s="2" t="s">
        <v>48</v>
      </c>
      <c r="N286" s="10" t="s">
        <v>50</v>
      </c>
      <c r="O286" s="1"/>
      <c r="P286" s="1">
        <f>SUM(P274:P285)</f>
        <v>6034874.3885875</v>
      </c>
      <c r="S286" s="2" t="s">
        <v>48</v>
      </c>
      <c r="T286" s="10" t="s">
        <v>50</v>
      </c>
      <c r="U286" s="1"/>
      <c r="V286" s="1">
        <f>SUM(V274:V285)</f>
        <v>6326701.3409874998</v>
      </c>
      <c r="Y286" s="2" t="s">
        <v>48</v>
      </c>
      <c r="Z286" s="10" t="s">
        <v>50</v>
      </c>
      <c r="AA286" s="1"/>
      <c r="AB286" s="1">
        <f>SUM(AB274:AB285)</f>
        <v>6603380.8532541664</v>
      </c>
    </row>
    <row r="287" spans="1:28" ht="15" hidden="1" customHeight="1" outlineLevel="1">
      <c r="A287" s="2" t="s">
        <v>49</v>
      </c>
      <c r="B287" s="10" t="s">
        <v>51</v>
      </c>
      <c r="C287" s="1">
        <v>1.8</v>
      </c>
      <c r="D287" s="1">
        <f>D286*C287</f>
        <v>10126522.155553501</v>
      </c>
      <c r="E287" s="4"/>
      <c r="G287" s="2" t="s">
        <v>49</v>
      </c>
      <c r="H287" s="10" t="s">
        <v>51</v>
      </c>
      <c r="I287" s="1">
        <v>1.8</v>
      </c>
      <c r="J287" s="1">
        <f>I287*J286</f>
        <v>10593323.120257501</v>
      </c>
      <c r="M287" s="2" t="s">
        <v>49</v>
      </c>
      <c r="N287" s="10" t="s">
        <v>51</v>
      </c>
      <c r="O287" s="1">
        <v>1.9</v>
      </c>
      <c r="P287" s="1">
        <f>P286*O287</f>
        <v>11466261.338316249</v>
      </c>
      <c r="S287" s="2" t="s">
        <v>49</v>
      </c>
      <c r="T287" s="10" t="s">
        <v>51</v>
      </c>
      <c r="U287" s="1">
        <v>1.9</v>
      </c>
      <c r="V287" s="1">
        <f>V286*U287</f>
        <v>12020732.547876248</v>
      </c>
      <c r="Y287" s="2" t="s">
        <v>49</v>
      </c>
      <c r="Z287" s="10" t="s">
        <v>51</v>
      </c>
      <c r="AA287" s="1">
        <v>1.9</v>
      </c>
      <c r="AB287" s="1">
        <f>AB286*AA287</f>
        <v>12546423.621182915</v>
      </c>
    </row>
    <row r="288" spans="1:28" ht="15" hidden="1" customHeight="1" outlineLevel="1">
      <c r="A288" s="2" t="s">
        <v>52</v>
      </c>
      <c r="B288" s="10" t="s">
        <v>51</v>
      </c>
      <c r="C288" s="2">
        <v>20</v>
      </c>
      <c r="D288" s="1">
        <f>D287*0.2</f>
        <v>2025304.4311107004</v>
      </c>
      <c r="E288" s="4"/>
      <c r="G288" s="2" t="s">
        <v>52</v>
      </c>
      <c r="H288" s="10" t="s">
        <v>51</v>
      </c>
      <c r="I288" s="2">
        <v>20</v>
      </c>
      <c r="J288" s="1">
        <f>J287*0.2</f>
        <v>2118664.6240515001</v>
      </c>
      <c r="M288" s="2" t="s">
        <v>52</v>
      </c>
      <c r="N288" s="10" t="s">
        <v>51</v>
      </c>
      <c r="O288" s="2">
        <v>20</v>
      </c>
      <c r="P288" s="1">
        <f>P287*0.2</f>
        <v>2293252.2676632497</v>
      </c>
      <c r="S288" s="2" t="s">
        <v>52</v>
      </c>
      <c r="T288" s="10" t="s">
        <v>51</v>
      </c>
      <c r="U288" s="2">
        <v>20</v>
      </c>
      <c r="V288" s="1">
        <f>V287*0.2</f>
        <v>2404146.5095752496</v>
      </c>
      <c r="Y288" s="2" t="s">
        <v>52</v>
      </c>
      <c r="Z288" s="10" t="s">
        <v>51</v>
      </c>
      <c r="AA288" s="2">
        <v>20</v>
      </c>
      <c r="AB288" s="1">
        <f>AB287*0.2</f>
        <v>2509284.7242365829</v>
      </c>
    </row>
    <row r="289" spans="1:28" collapsed="1">
      <c r="A289" s="2" t="s">
        <v>53</v>
      </c>
      <c r="B289" s="10"/>
      <c r="C289" s="1"/>
      <c r="D289" s="15">
        <f>D287+D288</f>
        <v>12151826.586664202</v>
      </c>
      <c r="E289" s="4"/>
      <c r="G289" s="2" t="s">
        <v>53</v>
      </c>
      <c r="H289" s="10"/>
      <c r="I289" s="1"/>
      <c r="J289" s="15">
        <f>J287+J288</f>
        <v>12711987.744309001</v>
      </c>
      <c r="M289" s="2" t="s">
        <v>53</v>
      </c>
      <c r="N289" s="10"/>
      <c r="O289" s="1"/>
      <c r="P289" s="15">
        <f>P287+P288</f>
        <v>13759513.605979498</v>
      </c>
      <c r="S289" s="2" t="s">
        <v>53</v>
      </c>
      <c r="T289" s="10"/>
      <c r="U289" s="1"/>
      <c r="V289" s="15">
        <f>V287+V288</f>
        <v>14424879.057451498</v>
      </c>
      <c r="Y289" s="2" t="s">
        <v>53</v>
      </c>
      <c r="Z289" s="10"/>
      <c r="AA289" s="1"/>
      <c r="AB289" s="15">
        <f>AB287+AB288</f>
        <v>15055708.345419498</v>
      </c>
    </row>
    <row r="290" spans="1:28" ht="31.5">
      <c r="A290" s="32" t="s">
        <v>61</v>
      </c>
      <c r="B290" s="32"/>
    </row>
    <row r="293" spans="1:28">
      <c r="A293" s="1" t="s">
        <v>23</v>
      </c>
      <c r="B293" s="14" t="s">
        <v>54</v>
      </c>
      <c r="C293" s="14"/>
      <c r="D293" s="14"/>
      <c r="G293" s="1" t="s">
        <v>40</v>
      </c>
      <c r="M293" s="1" t="s">
        <v>21</v>
      </c>
      <c r="S293" s="1" t="s">
        <v>41</v>
      </c>
      <c r="Y293" s="1" t="s">
        <v>43</v>
      </c>
    </row>
    <row r="294" spans="1:28">
      <c r="A294" s="19" t="s">
        <v>0</v>
      </c>
      <c r="B294" s="19" t="s">
        <v>1</v>
      </c>
      <c r="C294" s="19" t="s">
        <v>2</v>
      </c>
      <c r="D294" s="19" t="s">
        <v>3</v>
      </c>
      <c r="G294" s="19" t="s">
        <v>0</v>
      </c>
      <c r="H294" s="19" t="s">
        <v>1</v>
      </c>
      <c r="I294" s="19" t="s">
        <v>2</v>
      </c>
      <c r="J294" s="19" t="s">
        <v>3</v>
      </c>
      <c r="M294" s="19" t="s">
        <v>0</v>
      </c>
      <c r="N294" s="19" t="s">
        <v>1</v>
      </c>
      <c r="O294" s="19" t="s">
        <v>2</v>
      </c>
      <c r="P294" s="19" t="s">
        <v>3</v>
      </c>
      <c r="S294" s="19" t="s">
        <v>0</v>
      </c>
      <c r="T294" s="19" t="s">
        <v>1</v>
      </c>
      <c r="U294" s="19" t="s">
        <v>2</v>
      </c>
      <c r="V294" s="19" t="s">
        <v>3</v>
      </c>
      <c r="Y294" s="19" t="s">
        <v>0</v>
      </c>
      <c r="Z294" s="19" t="s">
        <v>1</v>
      </c>
      <c r="AA294" s="19" t="s">
        <v>2</v>
      </c>
      <c r="AB294" s="19" t="s">
        <v>3</v>
      </c>
    </row>
    <row r="295" spans="1:28" hidden="1" outlineLevel="1">
      <c r="A295" s="1" t="s">
        <v>4</v>
      </c>
      <c r="B295" s="1" t="s">
        <v>8</v>
      </c>
      <c r="C295" s="1">
        <v>11</v>
      </c>
      <c r="D295" s="1">
        <f>9354680/1.2/1000*2.96*C295+(28000*2)</f>
        <v>309823.65066666668</v>
      </c>
      <c r="G295" s="1" t="s">
        <v>4</v>
      </c>
      <c r="H295" s="1" t="s">
        <v>8</v>
      </c>
      <c r="I295" s="1">
        <v>11.5</v>
      </c>
      <c r="J295" s="1">
        <f>9354680/1.2/1000*2.96*I295+(28000*2)</f>
        <v>321361.08933333337</v>
      </c>
      <c r="M295" s="1" t="s">
        <v>4</v>
      </c>
      <c r="N295" s="1" t="s">
        <v>8</v>
      </c>
      <c r="O295" s="1">
        <v>12.5</v>
      </c>
      <c r="P295" s="1">
        <f>9354680/1.2/1000*2.96*O295+(28000*2)</f>
        <v>344435.96666666667</v>
      </c>
      <c r="S295" s="1" t="s">
        <v>4</v>
      </c>
      <c r="T295" s="1" t="s">
        <v>8</v>
      </c>
      <c r="U295" s="1">
        <v>12.5</v>
      </c>
      <c r="V295" s="1">
        <f>9354680/1.2/1000*2.96*U295+(28000*2)</f>
        <v>344435.96666666667</v>
      </c>
      <c r="Y295" s="1" t="s">
        <v>4</v>
      </c>
      <c r="Z295" s="1" t="s">
        <v>8</v>
      </c>
      <c r="AA295" s="1">
        <v>13</v>
      </c>
      <c r="AB295" s="1">
        <f>9354680/1.2/1000*2.96*AA295</f>
        <v>299973.40533333336</v>
      </c>
    </row>
    <row r="296" spans="1:28" hidden="1" outlineLevel="1">
      <c r="A296" s="1" t="s">
        <v>5</v>
      </c>
      <c r="B296" s="1" t="s">
        <v>8</v>
      </c>
      <c r="C296" s="1">
        <v>4.8</v>
      </c>
      <c r="D296" s="1">
        <f>10874266/1.2/1000*1.48*C296</f>
        <v>64375.654720000006</v>
      </c>
      <c r="G296" s="1" t="s">
        <v>5</v>
      </c>
      <c r="H296" s="1" t="s">
        <v>8</v>
      </c>
      <c r="I296" s="1">
        <v>6</v>
      </c>
      <c r="J296" s="1">
        <f>10874260/1.2/1000*1.48*I296</f>
        <v>80469.524000000005</v>
      </c>
      <c r="M296" s="1" t="s">
        <v>5</v>
      </c>
      <c r="N296" s="1" t="s">
        <v>8</v>
      </c>
      <c r="O296" s="1">
        <v>6</v>
      </c>
      <c r="P296" s="1">
        <f>10874260/1.2/1000*1.48*O296</f>
        <v>80469.524000000005</v>
      </c>
      <c r="S296" s="1" t="s">
        <v>5</v>
      </c>
      <c r="T296" s="1" t="s">
        <v>8</v>
      </c>
      <c r="U296" s="1">
        <v>6.6</v>
      </c>
      <c r="V296" s="1">
        <f>10874260/1.2/1000*1.48*U296</f>
        <v>88516.4764</v>
      </c>
      <c r="Y296" s="1" t="s">
        <v>5</v>
      </c>
      <c r="Z296" s="1" t="s">
        <v>8</v>
      </c>
      <c r="AA296" s="1">
        <v>7</v>
      </c>
      <c r="AB296" s="1">
        <f>10874260/1.2/1000*1.48*AA296</f>
        <v>93881.111333333334</v>
      </c>
    </row>
    <row r="297" spans="1:28" hidden="1" outlineLevel="1">
      <c r="A297" s="1" t="s">
        <v>6</v>
      </c>
      <c r="B297" s="1" t="s">
        <v>8</v>
      </c>
      <c r="C297" s="1"/>
      <c r="D297" s="1">
        <f>9351600/1.2/1000*1.08*C297</f>
        <v>0</v>
      </c>
      <c r="G297" s="1" t="s">
        <v>6</v>
      </c>
      <c r="H297" s="1" t="s">
        <v>8</v>
      </c>
      <c r="I297" s="1"/>
      <c r="J297" s="1">
        <f>9351600/1.2/1000*1.08*I297</f>
        <v>0</v>
      </c>
      <c r="M297" s="1" t="s">
        <v>6</v>
      </c>
      <c r="N297" s="1" t="s">
        <v>8</v>
      </c>
      <c r="O297" s="1"/>
      <c r="P297" s="1">
        <f>9351600/1.2/1000*1.08*O297</f>
        <v>0</v>
      </c>
      <c r="S297" s="1" t="s">
        <v>6</v>
      </c>
      <c r="T297" s="1" t="s">
        <v>8</v>
      </c>
      <c r="U297" s="1"/>
      <c r="V297" s="1">
        <f>9351600/1.2/1000*1.08*U297</f>
        <v>0</v>
      </c>
      <c r="Y297" s="1" t="s">
        <v>6</v>
      </c>
      <c r="Z297" s="1" t="s">
        <v>8</v>
      </c>
      <c r="AA297" s="1"/>
      <c r="AB297" s="1">
        <f>9351600/1.2/1000*1.08*AA297</f>
        <v>0</v>
      </c>
    </row>
    <row r="298" spans="1:28" hidden="1" outlineLevel="1">
      <c r="A298" s="1" t="s">
        <v>7</v>
      </c>
      <c r="B298" s="1" t="s">
        <v>8</v>
      </c>
      <c r="C298" s="1">
        <v>2.0499999999999998</v>
      </c>
      <c r="D298" s="1">
        <f>9819170/1.2/1000*7.13*C298</f>
        <v>119601.58192083334</v>
      </c>
      <c r="G298" s="1" t="s">
        <v>7</v>
      </c>
      <c r="H298" s="1" t="s">
        <v>8</v>
      </c>
      <c r="I298" s="1">
        <v>2.0499999999999998</v>
      </c>
      <c r="J298" s="1">
        <f>9819170/1.2/1000*7.13*I298</f>
        <v>119601.58192083334</v>
      </c>
      <c r="M298" s="1" t="s">
        <v>7</v>
      </c>
      <c r="N298" s="1" t="s">
        <v>8</v>
      </c>
      <c r="O298" s="1">
        <v>2.0499999999999998</v>
      </c>
      <c r="P298" s="1">
        <f>9819170/1.2/1000*7.13*O298</f>
        <v>119601.58192083334</v>
      </c>
      <c r="S298" s="1" t="s">
        <v>7</v>
      </c>
      <c r="T298" s="1" t="s">
        <v>8</v>
      </c>
      <c r="U298" s="1">
        <v>2.0499999999999998</v>
      </c>
      <c r="V298" s="1">
        <f>9819170/1.2/1000*7.13*U298</f>
        <v>119601.58192083334</v>
      </c>
      <c r="Y298" s="1" t="s">
        <v>7</v>
      </c>
      <c r="Z298" s="1" t="s">
        <v>8</v>
      </c>
      <c r="AA298" s="1">
        <v>2.0499999999999998</v>
      </c>
      <c r="AB298" s="1">
        <f>9819170/1.2/1000*7.13*AA298</f>
        <v>119601.58192083334</v>
      </c>
    </row>
    <row r="299" spans="1:28" hidden="1" outlineLevel="1">
      <c r="A299" s="1" t="s">
        <v>20</v>
      </c>
      <c r="B299" s="1" t="s">
        <v>8</v>
      </c>
      <c r="C299" s="1">
        <v>4.3</v>
      </c>
      <c r="D299" s="1">
        <f>C299*16500</f>
        <v>70950</v>
      </c>
      <c r="G299" s="1" t="s">
        <v>20</v>
      </c>
      <c r="H299" s="1" t="s">
        <v>8</v>
      </c>
      <c r="I299" s="1">
        <v>4.3</v>
      </c>
      <c r="J299" s="1">
        <f>I299*16500</f>
        <v>70950</v>
      </c>
      <c r="M299" s="1" t="s">
        <v>20</v>
      </c>
      <c r="N299" s="1" t="s">
        <v>8</v>
      </c>
      <c r="O299" s="1">
        <v>4.3</v>
      </c>
      <c r="P299" s="1">
        <f>O299*16500</f>
        <v>70950</v>
      </c>
      <c r="S299" s="1" t="s">
        <v>20</v>
      </c>
      <c r="T299" s="1" t="s">
        <v>8</v>
      </c>
      <c r="U299" s="1">
        <v>4.3</v>
      </c>
      <c r="V299" s="1">
        <f>U299*16500</f>
        <v>70950</v>
      </c>
      <c r="Y299" s="1" t="s">
        <v>20</v>
      </c>
      <c r="Z299" s="1" t="s">
        <v>8</v>
      </c>
      <c r="AA299" s="1">
        <v>4.3</v>
      </c>
      <c r="AB299" s="1">
        <f>AA299*16500</f>
        <v>70950</v>
      </c>
    </row>
    <row r="300" spans="1:28" hidden="1" outlineLevel="1">
      <c r="A300" s="2" t="s">
        <v>9</v>
      </c>
      <c r="B300" s="2" t="s">
        <v>10</v>
      </c>
      <c r="C300" s="1">
        <v>1</v>
      </c>
      <c r="D300" s="1">
        <f>2076000/1.2</f>
        <v>1730000</v>
      </c>
      <c r="G300" s="2" t="s">
        <v>9</v>
      </c>
      <c r="H300" s="2" t="s">
        <v>10</v>
      </c>
      <c r="I300" s="1">
        <v>1</v>
      </c>
      <c r="J300" s="1">
        <f>2076000/1.2</f>
        <v>1730000</v>
      </c>
      <c r="M300" s="2" t="s">
        <v>9</v>
      </c>
      <c r="N300" s="2" t="s">
        <v>10</v>
      </c>
      <c r="O300" s="1">
        <v>1</v>
      </c>
      <c r="P300" s="1">
        <f>2076000/1.2</f>
        <v>1730000</v>
      </c>
      <c r="S300" s="2" t="s">
        <v>9</v>
      </c>
      <c r="T300" s="2" t="s">
        <v>10</v>
      </c>
      <c r="U300" s="1">
        <v>1</v>
      </c>
      <c r="V300" s="1">
        <f>2076000/1.2</f>
        <v>1730000</v>
      </c>
      <c r="Y300" s="2" t="s">
        <v>9</v>
      </c>
      <c r="Z300" s="2" t="s">
        <v>10</v>
      </c>
      <c r="AA300" s="1">
        <v>1</v>
      </c>
      <c r="AB300" s="1">
        <f>2076000/1.2</f>
        <v>1730000</v>
      </c>
    </row>
    <row r="301" spans="1:28" hidden="1" outlineLevel="1">
      <c r="A301" s="2" t="s">
        <v>11</v>
      </c>
      <c r="B301" s="3"/>
      <c r="C301" s="5"/>
      <c r="D301" s="7">
        <v>120000</v>
      </c>
      <c r="G301" s="2" t="s">
        <v>11</v>
      </c>
      <c r="H301" s="3"/>
      <c r="I301" s="5"/>
      <c r="J301" s="7">
        <v>120000</v>
      </c>
      <c r="M301" s="2" t="s">
        <v>11</v>
      </c>
      <c r="N301" s="3"/>
      <c r="O301" s="5"/>
      <c r="P301" s="7">
        <v>120000</v>
      </c>
      <c r="S301" s="2" t="s">
        <v>11</v>
      </c>
      <c r="T301" s="3"/>
      <c r="U301" s="5"/>
      <c r="V301" s="7">
        <v>120000</v>
      </c>
      <c r="Y301" s="2" t="s">
        <v>11</v>
      </c>
      <c r="Z301" s="3"/>
      <c r="AA301" s="5"/>
      <c r="AB301" s="7">
        <v>120000</v>
      </c>
    </row>
    <row r="302" spans="1:28" hidden="1" outlineLevel="1">
      <c r="A302" s="2" t="s">
        <v>12</v>
      </c>
      <c r="B302" s="3"/>
      <c r="C302" s="5"/>
      <c r="D302" s="7">
        <v>670000</v>
      </c>
      <c r="G302" s="2" t="s">
        <v>12</v>
      </c>
      <c r="H302" s="3"/>
      <c r="I302" s="5"/>
      <c r="J302" s="7">
        <v>670000</v>
      </c>
      <c r="M302" s="2" t="s">
        <v>12</v>
      </c>
      <c r="N302" s="3"/>
      <c r="O302" s="5"/>
      <c r="P302" s="7">
        <v>670000</v>
      </c>
      <c r="S302" s="2" t="s">
        <v>12</v>
      </c>
      <c r="T302" s="3"/>
      <c r="U302" s="5"/>
      <c r="V302" s="7">
        <v>670000</v>
      </c>
      <c r="Y302" s="2" t="s">
        <v>12</v>
      </c>
      <c r="Z302" s="3"/>
      <c r="AA302" s="5"/>
      <c r="AB302" s="7">
        <v>670000</v>
      </c>
    </row>
    <row r="303" spans="1:28" hidden="1" outlineLevel="1">
      <c r="A303" s="2" t="s">
        <v>13</v>
      </c>
      <c r="B303" s="1" t="s">
        <v>14</v>
      </c>
      <c r="C303" s="5">
        <f>(0.2*C295)+(0.13*C111)+(0.08*C297)+(0.32*C298)+(0.1*C299)</f>
        <v>5.08</v>
      </c>
      <c r="D303" s="1">
        <f>C303*25000</f>
        <v>127000</v>
      </c>
      <c r="G303" s="2" t="s">
        <v>13</v>
      </c>
      <c r="H303" s="1" t="s">
        <v>14</v>
      </c>
      <c r="I303" s="5">
        <f>(0.2*I295)+(0.13*I111)+(0.08*I297)+(0.32*I298)+(0.1*I299)</f>
        <v>5.7779999999999996</v>
      </c>
      <c r="J303" s="1">
        <f>I303*25000</f>
        <v>144450</v>
      </c>
      <c r="M303" s="2" t="s">
        <v>13</v>
      </c>
      <c r="N303" s="1" t="s">
        <v>14</v>
      </c>
      <c r="O303" s="5">
        <f>(0.2*O295)+(0.13*O111)+(0.08*O297)+(0.32*O298)+(0.1*O299)</f>
        <v>5.9779999999999989</v>
      </c>
      <c r="P303" s="1">
        <f>O303*25000</f>
        <v>149449.99999999997</v>
      </c>
      <c r="S303" s="2" t="s">
        <v>13</v>
      </c>
      <c r="T303" s="1" t="s">
        <v>14</v>
      </c>
      <c r="U303" s="5">
        <f>(0.2*U295)+(0.13*U111)+(0.08*U297)+(0.32*U298)+(0.1*U299)</f>
        <v>6.5759999999999996</v>
      </c>
      <c r="V303" s="1">
        <f>U303*25000</f>
        <v>164400</v>
      </c>
      <c r="Y303" s="2" t="s">
        <v>13</v>
      </c>
      <c r="Z303" s="1" t="s">
        <v>14</v>
      </c>
      <c r="AA303" s="5">
        <f>(0.2*AA295)+(0.13*AA111)+(0.08*AA297)+(0.32*AA298)+(0.1*AA299)</f>
        <v>6.6759999999999993</v>
      </c>
      <c r="AB303" s="1">
        <f>AA303*25000</f>
        <v>166899.99999999997</v>
      </c>
    </row>
    <row r="304" spans="1:28" hidden="1" outlineLevel="1">
      <c r="A304" s="2" t="s">
        <v>19</v>
      </c>
      <c r="B304" s="2" t="s">
        <v>8</v>
      </c>
      <c r="C304" s="1">
        <f>21*2</f>
        <v>42</v>
      </c>
      <c r="D304" s="6">
        <f>8250*1.75*C304</f>
        <v>606375</v>
      </c>
      <c r="G304" s="2" t="s">
        <v>19</v>
      </c>
      <c r="H304" s="2" t="s">
        <v>8</v>
      </c>
      <c r="I304" s="1">
        <f>25*2</f>
        <v>50</v>
      </c>
      <c r="J304" s="6">
        <f>8250*1.75*I304</f>
        <v>721875</v>
      </c>
      <c r="M304" s="2" t="s">
        <v>19</v>
      </c>
      <c r="N304" s="2" t="s">
        <v>8</v>
      </c>
      <c r="O304" s="1">
        <f>28*2</f>
        <v>56</v>
      </c>
      <c r="P304" s="6">
        <f>8250*1.75*O304</f>
        <v>808500</v>
      </c>
      <c r="S304" s="2" t="s">
        <v>19</v>
      </c>
      <c r="T304" s="2" t="s">
        <v>8</v>
      </c>
      <c r="U304" s="1">
        <f>31*2</f>
        <v>62</v>
      </c>
      <c r="V304" s="6">
        <f>8250*1.75*U304</f>
        <v>895125</v>
      </c>
      <c r="Y304" s="2" t="s">
        <v>19</v>
      </c>
      <c r="Z304" s="2" t="s">
        <v>8</v>
      </c>
      <c r="AA304" s="1">
        <f>35*2</f>
        <v>70</v>
      </c>
      <c r="AB304" s="6">
        <f>8256*1.75*AA304</f>
        <v>1011360</v>
      </c>
    </row>
    <row r="305" spans="1:28" hidden="1" outlineLevel="1">
      <c r="A305" s="2" t="s">
        <v>16</v>
      </c>
      <c r="B305" s="2" t="s">
        <v>10</v>
      </c>
      <c r="C305" s="1">
        <v>1</v>
      </c>
      <c r="D305" s="1">
        <v>180000</v>
      </c>
      <c r="G305" s="2" t="s">
        <v>16</v>
      </c>
      <c r="H305" s="2" t="s">
        <v>10</v>
      </c>
      <c r="I305" s="1">
        <v>1</v>
      </c>
      <c r="J305" s="1">
        <v>180000</v>
      </c>
      <c r="M305" s="2" t="s">
        <v>16</v>
      </c>
      <c r="N305" s="2" t="s">
        <v>10</v>
      </c>
      <c r="O305" s="1">
        <v>1</v>
      </c>
      <c r="P305" s="1">
        <v>180000</v>
      </c>
      <c r="S305" s="2" t="s">
        <v>16</v>
      </c>
      <c r="T305" s="2" t="s">
        <v>10</v>
      </c>
      <c r="U305" s="1">
        <v>1</v>
      </c>
      <c r="V305" s="1">
        <v>180000</v>
      </c>
      <c r="Y305" s="2" t="s">
        <v>16</v>
      </c>
      <c r="Z305" s="2" t="s">
        <v>10</v>
      </c>
      <c r="AA305" s="1">
        <v>1</v>
      </c>
      <c r="AB305" s="1">
        <v>180000</v>
      </c>
    </row>
    <row r="306" spans="1:28" hidden="1" outlineLevel="1">
      <c r="A306" s="2" t="s">
        <v>17</v>
      </c>
      <c r="B306" s="2" t="s">
        <v>10</v>
      </c>
      <c r="C306" s="1"/>
      <c r="D306" s="7">
        <v>871000</v>
      </c>
      <c r="G306" s="2" t="s">
        <v>17</v>
      </c>
      <c r="H306" s="2" t="s">
        <v>10</v>
      </c>
      <c r="I306" s="1"/>
      <c r="J306" s="7">
        <v>871000</v>
      </c>
      <c r="M306" s="2" t="s">
        <v>17</v>
      </c>
      <c r="N306" s="2" t="s">
        <v>10</v>
      </c>
      <c r="O306" s="1"/>
      <c r="P306" s="7">
        <v>871000</v>
      </c>
      <c r="S306" s="2" t="s">
        <v>17</v>
      </c>
      <c r="T306" s="2" t="s">
        <v>10</v>
      </c>
      <c r="U306" s="1"/>
      <c r="V306" s="7">
        <v>871000</v>
      </c>
      <c r="Y306" s="2" t="s">
        <v>17</v>
      </c>
      <c r="Z306" s="2" t="s">
        <v>10</v>
      </c>
      <c r="AA306" s="1"/>
      <c r="AB306" s="7">
        <v>871000</v>
      </c>
    </row>
    <row r="307" spans="1:28" hidden="1" outlineLevel="1">
      <c r="A307" s="2" t="s">
        <v>48</v>
      </c>
      <c r="B307" s="10" t="s">
        <v>50</v>
      </c>
      <c r="C307" s="1"/>
      <c r="D307" s="1">
        <f>SUM(D295:D306)</f>
        <v>4869125.8873075005</v>
      </c>
      <c r="G307" s="2" t="s">
        <v>48</v>
      </c>
      <c r="H307" s="10" t="s">
        <v>50</v>
      </c>
      <c r="I307" s="1"/>
      <c r="J307" s="1">
        <f>SUM(J295:J306)</f>
        <v>5029707.1952541666</v>
      </c>
      <c r="M307" s="2" t="s">
        <v>48</v>
      </c>
      <c r="N307" s="10" t="s">
        <v>50</v>
      </c>
      <c r="O307" s="1"/>
      <c r="P307" s="1">
        <f>SUM(P295:P306)</f>
        <v>5144407.0725874994</v>
      </c>
      <c r="S307" s="2" t="s">
        <v>48</v>
      </c>
      <c r="T307" s="10" t="s">
        <v>50</v>
      </c>
      <c r="U307" s="1"/>
      <c r="V307" s="1">
        <f>SUM(V295:V306)</f>
        <v>5254029.0249875002</v>
      </c>
      <c r="Y307" s="2" t="s">
        <v>48</v>
      </c>
      <c r="Z307" s="10" t="s">
        <v>50</v>
      </c>
      <c r="AA307" s="1"/>
      <c r="AB307" s="1">
        <f>SUM(AB295:AB306)</f>
        <v>5333666.0985874999</v>
      </c>
    </row>
    <row r="308" spans="1:28" hidden="1" outlineLevel="1">
      <c r="A308" s="2" t="s">
        <v>49</v>
      </c>
      <c r="B308" s="10" t="s">
        <v>51</v>
      </c>
      <c r="C308" s="1">
        <v>1.7</v>
      </c>
      <c r="D308" s="1">
        <f>D307*C308</f>
        <v>8277514.008422751</v>
      </c>
      <c r="G308" s="2" t="s">
        <v>49</v>
      </c>
      <c r="H308" s="10" t="s">
        <v>51</v>
      </c>
      <c r="I308" s="1">
        <v>1.7</v>
      </c>
      <c r="J308" s="1">
        <f>J307*I308</f>
        <v>8550502.2319320831</v>
      </c>
      <c r="M308" s="2" t="s">
        <v>49</v>
      </c>
      <c r="N308" s="10" t="s">
        <v>51</v>
      </c>
      <c r="O308" s="1">
        <v>1.7</v>
      </c>
      <c r="P308" s="1">
        <f>P307*O308</f>
        <v>8745492.0233987495</v>
      </c>
      <c r="S308" s="2" t="s">
        <v>49</v>
      </c>
      <c r="T308" s="10" t="s">
        <v>51</v>
      </c>
      <c r="U308" s="1">
        <v>1.7</v>
      </c>
      <c r="V308" s="1">
        <f>V307*U308</f>
        <v>8931849.3424787503</v>
      </c>
      <c r="Y308" s="2" t="s">
        <v>49</v>
      </c>
      <c r="Z308" s="10" t="s">
        <v>51</v>
      </c>
      <c r="AA308" s="1">
        <v>1.8</v>
      </c>
      <c r="AB308" s="1">
        <f>AB307*AA308</f>
        <v>9600598.977457501</v>
      </c>
    </row>
    <row r="309" spans="1:28" hidden="1" outlineLevel="1">
      <c r="A309" s="2" t="s">
        <v>52</v>
      </c>
      <c r="B309" s="10" t="s">
        <v>51</v>
      </c>
      <c r="C309" s="2">
        <v>20</v>
      </c>
      <c r="D309" s="1">
        <f>D308*0.2</f>
        <v>1655502.8016845502</v>
      </c>
      <c r="G309" s="2" t="s">
        <v>52</v>
      </c>
      <c r="H309" s="10" t="s">
        <v>51</v>
      </c>
      <c r="I309" s="2">
        <v>20</v>
      </c>
      <c r="J309" s="1">
        <f>J308*0.2</f>
        <v>1710100.4463864167</v>
      </c>
      <c r="M309" s="2" t="s">
        <v>52</v>
      </c>
      <c r="N309" s="10" t="s">
        <v>51</v>
      </c>
      <c r="O309" s="2">
        <v>20</v>
      </c>
      <c r="P309" s="1">
        <f>P308*0.2</f>
        <v>1749098.4046797501</v>
      </c>
      <c r="S309" s="2" t="s">
        <v>52</v>
      </c>
      <c r="T309" s="10" t="s">
        <v>51</v>
      </c>
      <c r="U309" s="2">
        <v>20</v>
      </c>
      <c r="V309" s="1">
        <f>V308*0.2</f>
        <v>1786369.8684957502</v>
      </c>
      <c r="Y309" s="2" t="s">
        <v>52</v>
      </c>
      <c r="Z309" s="10" t="s">
        <v>51</v>
      </c>
      <c r="AA309" s="2">
        <v>20</v>
      </c>
      <c r="AB309" s="1">
        <f>AB308*0.2</f>
        <v>1920119.7954915003</v>
      </c>
    </row>
    <row r="310" spans="1:28" collapsed="1">
      <c r="A310" s="2" t="s">
        <v>53</v>
      </c>
      <c r="B310" s="10"/>
      <c r="C310" s="1"/>
      <c r="D310" s="15">
        <f>D308+D309</f>
        <v>9933016.8101073019</v>
      </c>
      <c r="G310" s="2" t="s">
        <v>53</v>
      </c>
      <c r="H310" s="10"/>
      <c r="I310" s="1"/>
      <c r="J310" s="15">
        <f>J308+J309</f>
        <v>10260602.678318501</v>
      </c>
      <c r="M310" s="2" t="s">
        <v>53</v>
      </c>
      <c r="N310" s="10"/>
      <c r="O310" s="1"/>
      <c r="P310" s="15">
        <f>P308+P309</f>
        <v>10494590.428078499</v>
      </c>
      <c r="S310" s="2" t="s">
        <v>53</v>
      </c>
      <c r="T310" s="10"/>
      <c r="U310" s="1"/>
      <c r="V310" s="15">
        <f>V308+V309</f>
        <v>10718219.2109745</v>
      </c>
      <c r="Y310" s="2" t="s">
        <v>53</v>
      </c>
      <c r="Z310" s="10"/>
      <c r="AA310" s="1"/>
      <c r="AB310" s="15">
        <f>AB308+AB309</f>
        <v>11520718.772949001</v>
      </c>
    </row>
    <row r="314" spans="1:28">
      <c r="A314" s="1" t="s">
        <v>23</v>
      </c>
      <c r="B314" s="20" t="s">
        <v>65</v>
      </c>
      <c r="C314" s="20"/>
      <c r="D314" s="20"/>
      <c r="E314" s="20"/>
      <c r="G314" s="1" t="s">
        <v>45</v>
      </c>
      <c r="M314" s="1" t="s">
        <v>46</v>
      </c>
      <c r="S314" s="1" t="s">
        <v>47</v>
      </c>
      <c r="Y314" s="1" t="s">
        <v>59</v>
      </c>
    </row>
    <row r="315" spans="1:28">
      <c r="A315" s="19" t="s">
        <v>0</v>
      </c>
      <c r="B315" s="24" t="s">
        <v>1</v>
      </c>
      <c r="C315" s="24" t="s">
        <v>2</v>
      </c>
      <c r="D315" s="24" t="s">
        <v>3</v>
      </c>
      <c r="E315" s="23"/>
      <c r="G315" s="19" t="s">
        <v>0</v>
      </c>
      <c r="H315" s="19" t="s">
        <v>1</v>
      </c>
      <c r="I315" s="19" t="s">
        <v>2</v>
      </c>
      <c r="J315" s="19" t="s">
        <v>3</v>
      </c>
      <c r="M315" s="19" t="s">
        <v>0</v>
      </c>
      <c r="N315" s="19" t="s">
        <v>1</v>
      </c>
      <c r="O315" s="19" t="s">
        <v>2</v>
      </c>
      <c r="P315" s="19" t="s">
        <v>3</v>
      </c>
      <c r="S315" s="19" t="s">
        <v>0</v>
      </c>
      <c r="T315" s="19" t="s">
        <v>1</v>
      </c>
      <c r="U315" s="19" t="s">
        <v>2</v>
      </c>
      <c r="V315" s="19" t="s">
        <v>3</v>
      </c>
      <c r="Y315" s="19" t="s">
        <v>0</v>
      </c>
      <c r="Z315" s="19" t="s">
        <v>1</v>
      </c>
      <c r="AA315" s="19" t="s">
        <v>2</v>
      </c>
      <c r="AB315" s="19" t="s">
        <v>3</v>
      </c>
    </row>
    <row r="316" spans="1:28" hidden="1" outlineLevel="1">
      <c r="A316" s="1" t="s">
        <v>4</v>
      </c>
      <c r="B316" s="1" t="s">
        <v>8</v>
      </c>
      <c r="C316" s="1">
        <v>11</v>
      </c>
      <c r="D316" s="1">
        <f>9354680/1.2/1000*2.96*C316+(28000*2)</f>
        <v>309823.65066666668</v>
      </c>
      <c r="E316" s="4"/>
      <c r="G316" s="1" t="s">
        <v>4</v>
      </c>
      <c r="H316" s="1" t="s">
        <v>8</v>
      </c>
      <c r="I316" s="1">
        <v>11.5</v>
      </c>
      <c r="J316" s="1">
        <f>9354680/1.2/1000*2.96*I316+(28000*2)</f>
        <v>321361.08933333337</v>
      </c>
      <c r="M316" s="1" t="s">
        <v>4</v>
      </c>
      <c r="N316" s="1" t="s">
        <v>8</v>
      </c>
      <c r="O316" s="1">
        <v>12.5</v>
      </c>
      <c r="P316" s="1">
        <f>9354680/1.2/1000*2.96*O316+(28000*2)</f>
        <v>344435.96666666667</v>
      </c>
      <c r="S316" s="1" t="s">
        <v>4</v>
      </c>
      <c r="T316" s="1" t="s">
        <v>8</v>
      </c>
      <c r="U316" s="1">
        <v>12.5</v>
      </c>
      <c r="V316" s="1">
        <f>9354680/1.2/1000*2.96*U316+(28000*2)</f>
        <v>344435.96666666667</v>
      </c>
      <c r="Y316" s="1" t="s">
        <v>4</v>
      </c>
      <c r="Z316" s="1" t="s">
        <v>8</v>
      </c>
      <c r="AA316" s="1">
        <v>13</v>
      </c>
      <c r="AB316" s="1">
        <f>9354680/1.2/1000*2.96*AA316</f>
        <v>299973.40533333336</v>
      </c>
    </row>
    <row r="317" spans="1:28" hidden="1" outlineLevel="1">
      <c r="A317" s="1" t="s">
        <v>5</v>
      </c>
      <c r="B317" s="1" t="s">
        <v>8</v>
      </c>
      <c r="C317" s="1">
        <v>4.8</v>
      </c>
      <c r="D317" s="1">
        <f>10874266/1.2/1000*1.48*C317</f>
        <v>64375.654720000006</v>
      </c>
      <c r="E317" s="4"/>
      <c r="G317" s="1" t="s">
        <v>5</v>
      </c>
      <c r="H317" s="1" t="s">
        <v>8</v>
      </c>
      <c r="I317" s="1">
        <v>6</v>
      </c>
      <c r="J317" s="1">
        <f>10874260/1.2/1000*1.48*I317</f>
        <v>80469.524000000005</v>
      </c>
      <c r="M317" s="1" t="s">
        <v>5</v>
      </c>
      <c r="N317" s="1" t="s">
        <v>8</v>
      </c>
      <c r="O317" s="1">
        <v>6</v>
      </c>
      <c r="P317" s="1">
        <f>10874260/1.2/1000*1.48*O317</f>
        <v>80469.524000000005</v>
      </c>
      <c r="S317" s="1" t="s">
        <v>5</v>
      </c>
      <c r="T317" s="1" t="s">
        <v>8</v>
      </c>
      <c r="U317" s="1">
        <v>6.6</v>
      </c>
      <c r="V317" s="1">
        <f>10874260/1.2/1000*1.48*U317</f>
        <v>88516.4764</v>
      </c>
      <c r="Y317" s="1" t="s">
        <v>5</v>
      </c>
      <c r="Z317" s="1" t="s">
        <v>8</v>
      </c>
      <c r="AA317" s="1">
        <v>7</v>
      </c>
      <c r="AB317" s="1">
        <f>10874260/1.2/1000*1.48*AA317</f>
        <v>93881.111333333334</v>
      </c>
    </row>
    <row r="318" spans="1:28" hidden="1" outlineLevel="1">
      <c r="A318" s="1" t="s">
        <v>6</v>
      </c>
      <c r="B318" s="1" t="s">
        <v>8</v>
      </c>
      <c r="C318" s="1"/>
      <c r="D318" s="1">
        <f>9351600/1.2/1000*1.08*C318</f>
        <v>0</v>
      </c>
      <c r="E318" s="4"/>
      <c r="G318" s="1" t="s">
        <v>6</v>
      </c>
      <c r="H318" s="1" t="s">
        <v>8</v>
      </c>
      <c r="I318" s="1"/>
      <c r="J318" s="1">
        <f>9351600/1.2/1000*1.08*I318</f>
        <v>0</v>
      </c>
      <c r="M318" s="1" t="s">
        <v>6</v>
      </c>
      <c r="N318" s="1" t="s">
        <v>8</v>
      </c>
      <c r="O318" s="1"/>
      <c r="P318" s="1">
        <f>9351600/1.2/1000*1.08*O318</f>
        <v>0</v>
      </c>
      <c r="S318" s="1" t="s">
        <v>6</v>
      </c>
      <c r="T318" s="1" t="s">
        <v>8</v>
      </c>
      <c r="U318" s="1"/>
      <c r="V318" s="1">
        <f>9351600/1.2/1000*1.08*U318</f>
        <v>0</v>
      </c>
      <c r="Y318" s="1" t="s">
        <v>6</v>
      </c>
      <c r="Z318" s="1" t="s">
        <v>8</v>
      </c>
      <c r="AA318" s="1"/>
      <c r="AB318" s="1">
        <f>9351600/1.2/1000*1.08*AA318</f>
        <v>0</v>
      </c>
    </row>
    <row r="319" spans="1:28" hidden="1" outlineLevel="1">
      <c r="A319" s="1" t="s">
        <v>7</v>
      </c>
      <c r="B319" s="1" t="s">
        <v>8</v>
      </c>
      <c r="C319" s="1">
        <v>2.0499999999999998</v>
      </c>
      <c r="D319" s="1">
        <f>9819170/1.2/1000*7.13*C319</f>
        <v>119601.58192083334</v>
      </c>
      <c r="E319" s="4"/>
      <c r="G319" s="1" t="s">
        <v>7</v>
      </c>
      <c r="H319" s="1" t="s">
        <v>8</v>
      </c>
      <c r="I319" s="1">
        <v>2.0499999999999998</v>
      </c>
      <c r="J319" s="1">
        <f>9819170/1.2/1000*7.13*I319</f>
        <v>119601.58192083334</v>
      </c>
      <c r="M319" s="1" t="s">
        <v>7</v>
      </c>
      <c r="N319" s="1" t="s">
        <v>8</v>
      </c>
      <c r="O319" s="1">
        <v>2.0499999999999998</v>
      </c>
      <c r="P319" s="1">
        <f>9819170/1.2/1000*7.13*O319</f>
        <v>119601.58192083334</v>
      </c>
      <c r="S319" s="1" t="s">
        <v>7</v>
      </c>
      <c r="T319" s="1" t="s">
        <v>8</v>
      </c>
      <c r="U319" s="1">
        <v>2.0499999999999998</v>
      </c>
      <c r="V319" s="1">
        <f>9819170/1.2/1000*7.13*U319</f>
        <v>119601.58192083334</v>
      </c>
      <c r="Y319" s="1" t="s">
        <v>7</v>
      </c>
      <c r="Z319" s="1" t="s">
        <v>8</v>
      </c>
      <c r="AA319" s="1">
        <v>2.0499999999999998</v>
      </c>
      <c r="AB319" s="1">
        <f>9819170/1.2/1000*7.13*AA319</f>
        <v>119601.58192083334</v>
      </c>
    </row>
    <row r="320" spans="1:28" hidden="1" outlineLevel="1">
      <c r="A320" s="1" t="s">
        <v>20</v>
      </c>
      <c r="B320" s="1" t="s">
        <v>8</v>
      </c>
      <c r="C320" s="1">
        <v>4.3</v>
      </c>
      <c r="D320" s="1">
        <f>C320*16500</f>
        <v>70950</v>
      </c>
      <c r="E320" s="4"/>
      <c r="G320" s="1" t="s">
        <v>20</v>
      </c>
      <c r="H320" s="1" t="s">
        <v>8</v>
      </c>
      <c r="I320" s="1">
        <v>4.3</v>
      </c>
      <c r="J320" s="1">
        <f>I320*16500</f>
        <v>70950</v>
      </c>
      <c r="M320" s="1" t="s">
        <v>20</v>
      </c>
      <c r="N320" s="1" t="s">
        <v>8</v>
      </c>
      <c r="O320" s="1">
        <v>4.3</v>
      </c>
      <c r="P320" s="1">
        <f>O320*16500</f>
        <v>70950</v>
      </c>
      <c r="S320" s="1" t="s">
        <v>20</v>
      </c>
      <c r="T320" s="1" t="s">
        <v>8</v>
      </c>
      <c r="U320" s="1">
        <v>4.3</v>
      </c>
      <c r="V320" s="1">
        <f>U320*16500</f>
        <v>70950</v>
      </c>
      <c r="Y320" s="1" t="s">
        <v>20</v>
      </c>
      <c r="Z320" s="1" t="s">
        <v>8</v>
      </c>
      <c r="AA320" s="1">
        <v>4.3</v>
      </c>
      <c r="AB320" s="1">
        <f>AA320*16500</f>
        <v>70950</v>
      </c>
    </row>
    <row r="321" spans="1:28" hidden="1" outlineLevel="1">
      <c r="A321" s="2" t="s">
        <v>9</v>
      </c>
      <c r="B321" s="2" t="s">
        <v>10</v>
      </c>
      <c r="C321" s="1">
        <v>1</v>
      </c>
      <c r="D321" s="1">
        <f>2076000/1.2</f>
        <v>1730000</v>
      </c>
      <c r="E321" s="4"/>
      <c r="G321" s="2" t="s">
        <v>9</v>
      </c>
      <c r="H321" s="2" t="s">
        <v>10</v>
      </c>
      <c r="I321" s="1">
        <v>1</v>
      </c>
      <c r="J321" s="1">
        <f>2076000/1.2</f>
        <v>1730000</v>
      </c>
      <c r="M321" s="2" t="s">
        <v>9</v>
      </c>
      <c r="N321" s="2" t="s">
        <v>10</v>
      </c>
      <c r="O321" s="1">
        <v>1</v>
      </c>
      <c r="P321" s="1">
        <f>2076000/1.2</f>
        <v>1730000</v>
      </c>
      <c r="S321" s="2" t="s">
        <v>9</v>
      </c>
      <c r="T321" s="2" t="s">
        <v>10</v>
      </c>
      <c r="U321" s="1">
        <v>1</v>
      </c>
      <c r="V321" s="1">
        <f>2076000/1.2</f>
        <v>1730000</v>
      </c>
      <c r="Y321" s="2" t="s">
        <v>9</v>
      </c>
      <c r="Z321" s="2" t="s">
        <v>10</v>
      </c>
      <c r="AA321" s="1">
        <v>1</v>
      </c>
      <c r="AB321" s="1">
        <f>2076000/1.2</f>
        <v>1730000</v>
      </c>
    </row>
    <row r="322" spans="1:28" hidden="1" outlineLevel="1">
      <c r="A322" s="2" t="s">
        <v>11</v>
      </c>
      <c r="B322" s="3"/>
      <c r="C322" s="5"/>
      <c r="D322" s="7">
        <v>120000</v>
      </c>
      <c r="E322" s="22"/>
      <c r="G322" s="2" t="s">
        <v>11</v>
      </c>
      <c r="H322" s="3"/>
      <c r="I322" s="5"/>
      <c r="J322" s="7">
        <v>120000</v>
      </c>
      <c r="M322" s="2" t="s">
        <v>11</v>
      </c>
      <c r="N322" s="3"/>
      <c r="O322" s="5"/>
      <c r="P322" s="7">
        <v>120000</v>
      </c>
      <c r="S322" s="2" t="s">
        <v>11</v>
      </c>
      <c r="T322" s="3"/>
      <c r="U322" s="5"/>
      <c r="V322" s="7">
        <v>120000</v>
      </c>
      <c r="Y322" s="2" t="s">
        <v>11</v>
      </c>
      <c r="Z322" s="3"/>
      <c r="AA322" s="5"/>
      <c r="AB322" s="7">
        <v>120000</v>
      </c>
    </row>
    <row r="323" spans="1:28" hidden="1" outlineLevel="1">
      <c r="A323" s="2" t="s">
        <v>12</v>
      </c>
      <c r="B323" s="3"/>
      <c r="C323" s="5"/>
      <c r="D323" s="7">
        <v>670000</v>
      </c>
      <c r="E323" s="22"/>
      <c r="G323" s="2" t="s">
        <v>12</v>
      </c>
      <c r="H323" s="3"/>
      <c r="I323" s="5"/>
      <c r="J323" s="7">
        <v>670000</v>
      </c>
      <c r="M323" s="2" t="s">
        <v>12</v>
      </c>
      <c r="N323" s="3"/>
      <c r="O323" s="5"/>
      <c r="P323" s="7">
        <v>670000</v>
      </c>
      <c r="S323" s="2" t="s">
        <v>12</v>
      </c>
      <c r="T323" s="3"/>
      <c r="U323" s="5"/>
      <c r="V323" s="7">
        <v>670000</v>
      </c>
      <c r="Y323" s="2" t="s">
        <v>12</v>
      </c>
      <c r="Z323" s="3"/>
      <c r="AA323" s="5"/>
      <c r="AB323" s="7">
        <v>670000</v>
      </c>
    </row>
    <row r="324" spans="1:28" hidden="1" outlineLevel="1">
      <c r="A324" s="2" t="s">
        <v>13</v>
      </c>
      <c r="B324" s="1" t="s">
        <v>14</v>
      </c>
      <c r="C324" s="5">
        <f>(0.2*C316)+(0.13*C174)+(0.08*C318)+(0.32*C319)+(0.1*C320)</f>
        <v>3.4159999999999999</v>
      </c>
      <c r="D324" s="1">
        <f>C324*25000</f>
        <v>85400</v>
      </c>
      <c r="E324" s="4"/>
      <c r="G324" s="2" t="s">
        <v>13</v>
      </c>
      <c r="H324" s="1" t="s">
        <v>14</v>
      </c>
      <c r="I324" s="5">
        <f>(0.2*I316)+(0.13*I174)+(0.08*I318)+(0.32*I319)+(0.1*I320)</f>
        <v>3.5160000000000005</v>
      </c>
      <c r="J324" s="1">
        <f>I324*25000</f>
        <v>87900.000000000015</v>
      </c>
      <c r="M324" s="2" t="s">
        <v>13</v>
      </c>
      <c r="N324" s="1" t="s">
        <v>14</v>
      </c>
      <c r="O324" s="5">
        <f>(0.2*O316)+(0.13*O174)+(0.08*O318)+(0.32*O319)+(0.1*O320)</f>
        <v>3.7159999999999997</v>
      </c>
      <c r="P324" s="1">
        <f>O324*25000</f>
        <v>92900</v>
      </c>
      <c r="S324" s="2" t="s">
        <v>13</v>
      </c>
      <c r="T324" s="1" t="s">
        <v>14</v>
      </c>
      <c r="U324" s="5">
        <f>(0.2*U316)+(0.13*U174)+(0.08*U318)+(0.32*U319)+(0.1*U320)</f>
        <v>3.7159999999999997</v>
      </c>
      <c r="V324" s="1">
        <f>U324*25000</f>
        <v>92900</v>
      </c>
      <c r="Y324" s="2" t="s">
        <v>13</v>
      </c>
      <c r="Z324" s="1" t="s">
        <v>14</v>
      </c>
      <c r="AA324" s="5">
        <f>(0.2*AA316)+(0.13*AA174)+(0.08*AA318)+(0.32*AA319)+(0.1*AA320)</f>
        <v>3.8160000000000003</v>
      </c>
      <c r="AB324" s="1">
        <f>AA324*25000</f>
        <v>95400</v>
      </c>
    </row>
    <row r="325" spans="1:28" hidden="1" outlineLevel="1">
      <c r="A325" s="2" t="s">
        <v>19</v>
      </c>
      <c r="B325" s="2" t="s">
        <v>8</v>
      </c>
      <c r="C325" s="1">
        <f>21*2</f>
        <v>42</v>
      </c>
      <c r="D325" s="6">
        <f>10135*1.75*C325</f>
        <v>744922.5</v>
      </c>
      <c r="E325" s="4"/>
      <c r="G325" s="2" t="s">
        <v>19</v>
      </c>
      <c r="H325" s="2" t="s">
        <v>8</v>
      </c>
      <c r="I325" s="1">
        <f>25*2</f>
        <v>50</v>
      </c>
      <c r="J325" s="6">
        <f>10135*1.75*I325</f>
        <v>886812.5</v>
      </c>
      <c r="M325" s="2" t="s">
        <v>19</v>
      </c>
      <c r="N325" s="2" t="s">
        <v>8</v>
      </c>
      <c r="O325" s="1">
        <f>28*2</f>
        <v>56</v>
      </c>
      <c r="P325" s="6">
        <f>10135*1.75*O325</f>
        <v>993230</v>
      </c>
      <c r="S325" s="2" t="s">
        <v>19</v>
      </c>
      <c r="T325" s="2" t="s">
        <v>8</v>
      </c>
      <c r="U325" s="1">
        <f>32*2</f>
        <v>64</v>
      </c>
      <c r="V325" s="6">
        <f>10135*1.75*U325</f>
        <v>1135120</v>
      </c>
      <c r="Y325" s="2" t="s">
        <v>19</v>
      </c>
      <c r="Z325" s="2" t="s">
        <v>8</v>
      </c>
      <c r="AA325" s="1">
        <f>35*2</f>
        <v>70</v>
      </c>
      <c r="AB325" s="6">
        <f>10135*1.75*AA325</f>
        <v>1241537.5</v>
      </c>
    </row>
    <row r="326" spans="1:28" hidden="1" outlineLevel="1">
      <c r="A326" s="2" t="s">
        <v>16</v>
      </c>
      <c r="B326" s="2" t="s">
        <v>10</v>
      </c>
      <c r="C326" s="1">
        <v>1</v>
      </c>
      <c r="D326" s="1">
        <v>180000</v>
      </c>
      <c r="E326" s="4"/>
      <c r="G326" s="2" t="s">
        <v>16</v>
      </c>
      <c r="H326" s="2" t="s">
        <v>10</v>
      </c>
      <c r="I326" s="1">
        <v>1</v>
      </c>
      <c r="J326" s="1">
        <v>180000</v>
      </c>
      <c r="M326" s="2" t="s">
        <v>16</v>
      </c>
      <c r="N326" s="2" t="s">
        <v>10</v>
      </c>
      <c r="O326" s="1">
        <v>1</v>
      </c>
      <c r="P326" s="1">
        <v>180000</v>
      </c>
      <c r="S326" s="2" t="s">
        <v>16</v>
      </c>
      <c r="T326" s="2" t="s">
        <v>10</v>
      </c>
      <c r="U326" s="1">
        <v>1</v>
      </c>
      <c r="V326" s="1">
        <v>180000</v>
      </c>
      <c r="Y326" s="2" t="s">
        <v>16</v>
      </c>
      <c r="Z326" s="2" t="s">
        <v>10</v>
      </c>
      <c r="AA326" s="1">
        <v>1</v>
      </c>
      <c r="AB326" s="1">
        <v>180000</v>
      </c>
    </row>
    <row r="327" spans="1:28" hidden="1" outlineLevel="1">
      <c r="A327" s="2" t="s">
        <v>17</v>
      </c>
      <c r="B327" s="2" t="s">
        <v>10</v>
      </c>
      <c r="C327" s="1"/>
      <c r="D327" s="7">
        <v>871000</v>
      </c>
      <c r="E327" s="22"/>
      <c r="G327" s="2" t="s">
        <v>17</v>
      </c>
      <c r="H327" s="2" t="s">
        <v>10</v>
      </c>
      <c r="I327" s="1"/>
      <c r="J327" s="7">
        <v>871000</v>
      </c>
      <c r="M327" s="2" t="s">
        <v>17</v>
      </c>
      <c r="N327" s="2" t="s">
        <v>10</v>
      </c>
      <c r="O327" s="1"/>
      <c r="P327" s="7">
        <v>871000</v>
      </c>
      <c r="S327" s="2" t="s">
        <v>17</v>
      </c>
      <c r="T327" s="2" t="s">
        <v>10</v>
      </c>
      <c r="U327" s="1"/>
      <c r="V327" s="7">
        <v>871000</v>
      </c>
      <c r="Y327" s="2" t="s">
        <v>17</v>
      </c>
      <c r="Z327" s="2" t="s">
        <v>10</v>
      </c>
      <c r="AA327" s="1"/>
      <c r="AB327" s="7">
        <v>871000</v>
      </c>
    </row>
    <row r="328" spans="1:28" hidden="1" outlineLevel="1">
      <c r="A328" s="2" t="s">
        <v>48</v>
      </c>
      <c r="B328" s="10" t="s">
        <v>50</v>
      </c>
      <c r="C328" s="1"/>
      <c r="D328" s="1">
        <f>SUM(D316:D327)</f>
        <v>4966073.3873075005</v>
      </c>
      <c r="E328" s="4"/>
      <c r="G328" s="2" t="s">
        <v>48</v>
      </c>
      <c r="H328" s="10" t="s">
        <v>50</v>
      </c>
      <c r="I328" s="1"/>
      <c r="J328" s="1">
        <f>SUM(J316:J327)</f>
        <v>5138094.6952541666</v>
      </c>
      <c r="M328" s="2" t="s">
        <v>48</v>
      </c>
      <c r="N328" s="10" t="s">
        <v>50</v>
      </c>
      <c r="O328" s="1"/>
      <c r="P328" s="1">
        <f>SUM(P316:P327)</f>
        <v>5272587.0725874994</v>
      </c>
      <c r="S328" s="2" t="s">
        <v>48</v>
      </c>
      <c r="T328" s="10" t="s">
        <v>50</v>
      </c>
      <c r="U328" s="1"/>
      <c r="V328" s="1">
        <f>SUM(V316:V327)</f>
        <v>5422524.0249875002</v>
      </c>
      <c r="Y328" s="2" t="s">
        <v>48</v>
      </c>
      <c r="Z328" s="10" t="s">
        <v>50</v>
      </c>
      <c r="AA328" s="1"/>
      <c r="AB328" s="1">
        <f>SUM(AB316:AB327)</f>
        <v>5492343.5985874999</v>
      </c>
    </row>
    <row r="329" spans="1:28" hidden="1" outlineLevel="1">
      <c r="A329" s="2" t="s">
        <v>49</v>
      </c>
      <c r="B329" s="10" t="s">
        <v>51</v>
      </c>
      <c r="C329" s="1">
        <v>1.7</v>
      </c>
      <c r="D329" s="1">
        <f>D328*C329</f>
        <v>8442324.758422751</v>
      </c>
      <c r="E329" s="4"/>
      <c r="G329" s="2" t="s">
        <v>49</v>
      </c>
      <c r="H329" s="10" t="s">
        <v>51</v>
      </c>
      <c r="I329" s="1">
        <v>1.7</v>
      </c>
      <c r="J329" s="1">
        <f>J328*I329</f>
        <v>8734760.9819320831</v>
      </c>
      <c r="M329" s="2" t="s">
        <v>49</v>
      </c>
      <c r="N329" s="10" t="s">
        <v>51</v>
      </c>
      <c r="O329" s="1">
        <v>1.7</v>
      </c>
      <c r="P329" s="1">
        <f>P328*O329</f>
        <v>8963398.0233987495</v>
      </c>
      <c r="S329" s="2" t="s">
        <v>49</v>
      </c>
      <c r="T329" s="10" t="s">
        <v>51</v>
      </c>
      <c r="U329" s="1">
        <v>1.75</v>
      </c>
      <c r="V329" s="1">
        <f>V328*U329</f>
        <v>9489417.0437281244</v>
      </c>
      <c r="Y329" s="2" t="s">
        <v>49</v>
      </c>
      <c r="Z329" s="10" t="s">
        <v>51</v>
      </c>
      <c r="AA329" s="1">
        <v>1.8</v>
      </c>
      <c r="AB329" s="1">
        <f>AB328*AA329</f>
        <v>9886218.477457501</v>
      </c>
    </row>
    <row r="330" spans="1:28" hidden="1" outlineLevel="1">
      <c r="A330" s="2" t="s">
        <v>52</v>
      </c>
      <c r="B330" s="10" t="s">
        <v>51</v>
      </c>
      <c r="C330" s="2">
        <v>20</v>
      </c>
      <c r="D330" s="1">
        <f>D329*0.2</f>
        <v>1688464.9516845504</v>
      </c>
      <c r="E330" s="4"/>
      <c r="G330" s="2" t="s">
        <v>52</v>
      </c>
      <c r="H330" s="10" t="s">
        <v>51</v>
      </c>
      <c r="I330" s="2">
        <v>20</v>
      </c>
      <c r="J330" s="1">
        <f>J329*0.2</f>
        <v>1746952.1963864167</v>
      </c>
      <c r="M330" s="2" t="s">
        <v>52</v>
      </c>
      <c r="N330" s="10" t="s">
        <v>51</v>
      </c>
      <c r="O330" s="2">
        <v>20</v>
      </c>
      <c r="P330" s="1">
        <f>P329*0.2</f>
        <v>1792679.60467975</v>
      </c>
      <c r="S330" s="2" t="s">
        <v>52</v>
      </c>
      <c r="T330" s="10" t="s">
        <v>51</v>
      </c>
      <c r="U330" s="2">
        <v>20</v>
      </c>
      <c r="V330" s="1">
        <f>V329*0.2</f>
        <v>1897883.4087456251</v>
      </c>
      <c r="Y330" s="2" t="s">
        <v>52</v>
      </c>
      <c r="Z330" s="10" t="s">
        <v>51</v>
      </c>
      <c r="AA330" s="2">
        <v>20</v>
      </c>
      <c r="AB330" s="1">
        <f>AB329*0.2</f>
        <v>1977243.6954915002</v>
      </c>
    </row>
    <row r="331" spans="1:28" collapsed="1">
      <c r="A331" s="2" t="s">
        <v>53</v>
      </c>
      <c r="B331" s="10"/>
      <c r="C331" s="1"/>
      <c r="D331" s="15">
        <f>D329+D330</f>
        <v>10130789.7101073</v>
      </c>
      <c r="E331" s="4"/>
      <c r="G331" s="2" t="s">
        <v>53</v>
      </c>
      <c r="H331" s="10"/>
      <c r="I331" s="1"/>
      <c r="J331" s="15">
        <f>J329+J330</f>
        <v>10481713.178318501</v>
      </c>
      <c r="M331" s="2" t="s">
        <v>53</v>
      </c>
      <c r="N331" s="10"/>
      <c r="O331" s="1"/>
      <c r="P331" s="15">
        <f>P329+P330</f>
        <v>10756077.6280785</v>
      </c>
      <c r="S331" s="2" t="s">
        <v>53</v>
      </c>
      <c r="T331" s="10"/>
      <c r="U331" s="1"/>
      <c r="V331" s="15">
        <f>V329+V330</f>
        <v>11387300.452473748</v>
      </c>
      <c r="Y331" s="2" t="s">
        <v>53</v>
      </c>
      <c r="Z331" s="10"/>
      <c r="AA331" s="1"/>
      <c r="AB331" s="15">
        <f>AB329+AB330</f>
        <v>11863462.172949001</v>
      </c>
    </row>
    <row r="335" spans="1:28">
      <c r="A335" s="1" t="s">
        <v>23</v>
      </c>
      <c r="B335" s="38" t="s">
        <v>62</v>
      </c>
      <c r="C335" s="38"/>
      <c r="D335" s="38"/>
      <c r="E335" s="20"/>
      <c r="G335" s="1" t="s">
        <v>40</v>
      </c>
      <c r="M335" s="1" t="s">
        <v>21</v>
      </c>
      <c r="S335" s="1" t="s">
        <v>41</v>
      </c>
      <c r="Y335" s="1" t="s">
        <v>43</v>
      </c>
    </row>
    <row r="336" spans="1:28">
      <c r="A336" s="19" t="s">
        <v>0</v>
      </c>
      <c r="B336" s="24" t="s">
        <v>1</v>
      </c>
      <c r="C336" s="24" t="s">
        <v>2</v>
      </c>
      <c r="D336" s="24" t="s">
        <v>3</v>
      </c>
      <c r="E336" s="23"/>
      <c r="G336" s="19" t="s">
        <v>0</v>
      </c>
      <c r="H336" s="19" t="s">
        <v>1</v>
      </c>
      <c r="I336" s="19" t="s">
        <v>2</v>
      </c>
      <c r="J336" s="19" t="s">
        <v>3</v>
      </c>
      <c r="M336" s="19" t="s">
        <v>0</v>
      </c>
      <c r="N336" s="19" t="s">
        <v>1</v>
      </c>
      <c r="O336" s="19" t="s">
        <v>2</v>
      </c>
      <c r="P336" s="19" t="s">
        <v>3</v>
      </c>
      <c r="S336" s="19" t="s">
        <v>0</v>
      </c>
      <c r="T336" s="19" t="s">
        <v>1</v>
      </c>
      <c r="U336" s="19" t="s">
        <v>2</v>
      </c>
      <c r="V336" s="19" t="s">
        <v>3</v>
      </c>
      <c r="Y336" s="19" t="s">
        <v>0</v>
      </c>
      <c r="Z336" s="19" t="s">
        <v>1</v>
      </c>
      <c r="AA336" s="19" t="s">
        <v>2</v>
      </c>
      <c r="AB336" s="19" t="s">
        <v>3</v>
      </c>
    </row>
    <row r="337" spans="1:28" hidden="1" outlineLevel="1">
      <c r="A337" s="1" t="s">
        <v>4</v>
      </c>
      <c r="B337" s="1" t="s">
        <v>8</v>
      </c>
      <c r="C337" s="1">
        <v>11</v>
      </c>
      <c r="D337" s="1">
        <f>9354680/1.2/1000*2.96*C337+(28000*2)</f>
        <v>309823.65066666668</v>
      </c>
      <c r="E337" s="4"/>
      <c r="G337" s="1" t="s">
        <v>4</v>
      </c>
      <c r="H337" s="1" t="s">
        <v>8</v>
      </c>
      <c r="I337" s="1">
        <v>11.5</v>
      </c>
      <c r="J337" s="1">
        <f>9354680/1.2/1000*2.96*I337+(28000*2)</f>
        <v>321361.08933333337</v>
      </c>
      <c r="M337" s="1" t="s">
        <v>4</v>
      </c>
      <c r="N337" s="1" t="s">
        <v>8</v>
      </c>
      <c r="O337" s="1">
        <v>12.5</v>
      </c>
      <c r="P337" s="1">
        <f>9354680/1.2/1000*2.96*O337+(28000*2)</f>
        <v>344435.96666666667</v>
      </c>
      <c r="S337" s="1" t="s">
        <v>4</v>
      </c>
      <c r="T337" s="1" t="s">
        <v>8</v>
      </c>
      <c r="U337" s="1">
        <v>12.5</v>
      </c>
      <c r="V337" s="1">
        <f>9354680/1.2/1000*2.96*U337+(28000*2)</f>
        <v>344435.96666666667</v>
      </c>
      <c r="Y337" s="1" t="s">
        <v>4</v>
      </c>
      <c r="Z337" s="1" t="s">
        <v>8</v>
      </c>
      <c r="AA337" s="1">
        <v>13</v>
      </c>
      <c r="AB337" s="1">
        <f>9354680/1.2/1000*2.96*AA337</f>
        <v>299973.40533333336</v>
      </c>
    </row>
    <row r="338" spans="1:28" hidden="1" outlineLevel="1">
      <c r="A338" s="1" t="s">
        <v>5</v>
      </c>
      <c r="B338" s="1" t="s">
        <v>8</v>
      </c>
      <c r="C338" s="1">
        <v>4.8</v>
      </c>
      <c r="D338" s="1">
        <f>10874266/1.2/1000*1.48*C338</f>
        <v>64375.654720000006</v>
      </c>
      <c r="E338" s="4"/>
      <c r="G338" s="1" t="s">
        <v>5</v>
      </c>
      <c r="H338" s="1" t="s">
        <v>8</v>
      </c>
      <c r="I338" s="1">
        <v>6</v>
      </c>
      <c r="J338" s="1">
        <f>10874260/1.2/1000*1.48*I338</f>
        <v>80469.524000000005</v>
      </c>
      <c r="M338" s="1" t="s">
        <v>5</v>
      </c>
      <c r="N338" s="1" t="s">
        <v>8</v>
      </c>
      <c r="O338" s="1">
        <v>6</v>
      </c>
      <c r="P338" s="1">
        <f>10874260/1.2/1000*1.48*O338</f>
        <v>80469.524000000005</v>
      </c>
      <c r="S338" s="1" t="s">
        <v>5</v>
      </c>
      <c r="T338" s="1" t="s">
        <v>8</v>
      </c>
      <c r="U338" s="1">
        <v>6.6</v>
      </c>
      <c r="V338" s="1">
        <f>10874260/1.2/1000*1.48*U338</f>
        <v>88516.4764</v>
      </c>
      <c r="Y338" s="1" t="s">
        <v>5</v>
      </c>
      <c r="Z338" s="1" t="s">
        <v>8</v>
      </c>
      <c r="AA338" s="1">
        <v>7</v>
      </c>
      <c r="AB338" s="1">
        <f>10874260/1.2/1000*1.48*AA338</f>
        <v>93881.111333333334</v>
      </c>
    </row>
    <row r="339" spans="1:28" hidden="1" outlineLevel="1">
      <c r="A339" s="1" t="s">
        <v>6</v>
      </c>
      <c r="B339" s="1" t="s">
        <v>8</v>
      </c>
      <c r="C339" s="1"/>
      <c r="D339" s="1">
        <f>9351600/1.2/1000*1.08*C339</f>
        <v>0</v>
      </c>
      <c r="E339" s="4"/>
      <c r="G339" s="1" t="s">
        <v>6</v>
      </c>
      <c r="H339" s="1" t="s">
        <v>8</v>
      </c>
      <c r="I339" s="1"/>
      <c r="J339" s="1">
        <f>9351600/1.2/1000*1.08*I339</f>
        <v>0</v>
      </c>
      <c r="M339" s="1" t="s">
        <v>6</v>
      </c>
      <c r="N339" s="1" t="s">
        <v>8</v>
      </c>
      <c r="O339" s="1"/>
      <c r="P339" s="1">
        <f>9351600/1.2/1000*1.08*O339</f>
        <v>0</v>
      </c>
      <c r="S339" s="1" t="s">
        <v>6</v>
      </c>
      <c r="T339" s="1" t="s">
        <v>8</v>
      </c>
      <c r="U339" s="1"/>
      <c r="V339" s="1">
        <f>9351600/1.2/1000*1.08*U339</f>
        <v>0</v>
      </c>
      <c r="Y339" s="1" t="s">
        <v>6</v>
      </c>
      <c r="Z339" s="1" t="s">
        <v>8</v>
      </c>
      <c r="AA339" s="1"/>
      <c r="AB339" s="1">
        <f>9351600/1.2/1000*1.08*AA339</f>
        <v>0</v>
      </c>
    </row>
    <row r="340" spans="1:28" hidden="1" outlineLevel="1">
      <c r="A340" s="1" t="s">
        <v>7</v>
      </c>
      <c r="B340" s="1" t="s">
        <v>8</v>
      </c>
      <c r="C340" s="1">
        <v>2.0499999999999998</v>
      </c>
      <c r="D340" s="1">
        <f>9819170/1.2/1000*7.13*C340</f>
        <v>119601.58192083334</v>
      </c>
      <c r="E340" s="4"/>
      <c r="G340" s="1" t="s">
        <v>7</v>
      </c>
      <c r="H340" s="1" t="s">
        <v>8</v>
      </c>
      <c r="I340" s="1">
        <v>2.0499999999999998</v>
      </c>
      <c r="J340" s="1">
        <f>9819170/1.2/1000*7.13*I340</f>
        <v>119601.58192083334</v>
      </c>
      <c r="M340" s="1" t="s">
        <v>7</v>
      </c>
      <c r="N340" s="1" t="s">
        <v>8</v>
      </c>
      <c r="O340" s="1">
        <v>2.0499999999999998</v>
      </c>
      <c r="P340" s="1">
        <f>9819170/1.2/1000*7.13*O340</f>
        <v>119601.58192083334</v>
      </c>
      <c r="S340" s="1" t="s">
        <v>7</v>
      </c>
      <c r="T340" s="1" t="s">
        <v>8</v>
      </c>
      <c r="U340" s="1">
        <v>2.0499999999999998</v>
      </c>
      <c r="V340" s="1">
        <f>9819170/1.2/1000*7.13*U340</f>
        <v>119601.58192083334</v>
      </c>
      <c r="Y340" s="1" t="s">
        <v>7</v>
      </c>
      <c r="Z340" s="1" t="s">
        <v>8</v>
      </c>
      <c r="AA340" s="1">
        <v>2.0499999999999998</v>
      </c>
      <c r="AB340" s="1">
        <f>9819170/1.2/1000*7.13*AA340</f>
        <v>119601.58192083334</v>
      </c>
    </row>
    <row r="341" spans="1:28" hidden="1" outlineLevel="1">
      <c r="A341" s="1" t="s">
        <v>20</v>
      </c>
      <c r="B341" s="1" t="s">
        <v>8</v>
      </c>
      <c r="C341" s="1">
        <v>4.3</v>
      </c>
      <c r="D341" s="1">
        <f>C341*16500</f>
        <v>70950</v>
      </c>
      <c r="E341" s="4"/>
      <c r="G341" s="1" t="s">
        <v>20</v>
      </c>
      <c r="H341" s="1" t="s">
        <v>8</v>
      </c>
      <c r="I341" s="1">
        <v>4.3</v>
      </c>
      <c r="J341" s="1">
        <f>I341*16500</f>
        <v>70950</v>
      </c>
      <c r="M341" s="1" t="s">
        <v>20</v>
      </c>
      <c r="N341" s="1" t="s">
        <v>8</v>
      </c>
      <c r="O341" s="1">
        <v>4.3</v>
      </c>
      <c r="P341" s="1">
        <f>O341*16500</f>
        <v>70950</v>
      </c>
      <c r="S341" s="1" t="s">
        <v>20</v>
      </c>
      <c r="T341" s="1" t="s">
        <v>8</v>
      </c>
      <c r="U341" s="1">
        <v>4.3</v>
      </c>
      <c r="V341" s="1">
        <f>U341*16500</f>
        <v>70950</v>
      </c>
      <c r="Y341" s="1" t="s">
        <v>20</v>
      </c>
      <c r="Z341" s="1" t="s">
        <v>8</v>
      </c>
      <c r="AA341" s="1">
        <v>4.3</v>
      </c>
      <c r="AB341" s="1">
        <f>AA341*16500</f>
        <v>70950</v>
      </c>
    </row>
    <row r="342" spans="1:28" hidden="1" outlineLevel="1">
      <c r="A342" s="2" t="s">
        <v>9</v>
      </c>
      <c r="B342" s="2" t="s">
        <v>10</v>
      </c>
      <c r="C342" s="1">
        <v>1</v>
      </c>
      <c r="D342" s="1">
        <f>2076000/1.2</f>
        <v>1730000</v>
      </c>
      <c r="E342" s="4"/>
      <c r="G342" s="2" t="s">
        <v>9</v>
      </c>
      <c r="H342" s="2" t="s">
        <v>10</v>
      </c>
      <c r="I342" s="1">
        <v>1</v>
      </c>
      <c r="J342" s="1">
        <f>2076000/1.2</f>
        <v>1730000</v>
      </c>
      <c r="M342" s="2" t="s">
        <v>9</v>
      </c>
      <c r="N342" s="2" t="s">
        <v>10</v>
      </c>
      <c r="O342" s="1">
        <v>1</v>
      </c>
      <c r="P342" s="1">
        <f>2076000/1.2</f>
        <v>1730000</v>
      </c>
      <c r="S342" s="2" t="s">
        <v>9</v>
      </c>
      <c r="T342" s="2" t="s">
        <v>10</v>
      </c>
      <c r="U342" s="1">
        <v>1</v>
      </c>
      <c r="V342" s="1">
        <f>2076000/1.2</f>
        <v>1730000</v>
      </c>
      <c r="Y342" s="2" t="s">
        <v>9</v>
      </c>
      <c r="Z342" s="2" t="s">
        <v>10</v>
      </c>
      <c r="AA342" s="1">
        <v>1</v>
      </c>
      <c r="AB342" s="1">
        <f>2076000/1.2</f>
        <v>1730000</v>
      </c>
    </row>
    <row r="343" spans="1:28" hidden="1" outlineLevel="1">
      <c r="A343" s="2" t="s">
        <v>11</v>
      </c>
      <c r="B343" s="3"/>
      <c r="C343" s="5"/>
      <c r="D343" s="7">
        <v>120000</v>
      </c>
      <c r="E343" s="22"/>
      <c r="G343" s="2" t="s">
        <v>11</v>
      </c>
      <c r="H343" s="3"/>
      <c r="I343" s="5"/>
      <c r="J343" s="7">
        <v>120000</v>
      </c>
      <c r="M343" s="2" t="s">
        <v>11</v>
      </c>
      <c r="N343" s="3"/>
      <c r="O343" s="5"/>
      <c r="P343" s="7">
        <v>120000</v>
      </c>
      <c r="S343" s="2" t="s">
        <v>11</v>
      </c>
      <c r="T343" s="3"/>
      <c r="U343" s="5"/>
      <c r="V343" s="7">
        <v>120000</v>
      </c>
      <c r="Y343" s="2" t="s">
        <v>11</v>
      </c>
      <c r="Z343" s="3"/>
      <c r="AA343" s="5"/>
      <c r="AB343" s="7">
        <v>120000</v>
      </c>
    </row>
    <row r="344" spans="1:28" hidden="1" outlineLevel="1">
      <c r="A344" s="2" t="s">
        <v>12</v>
      </c>
      <c r="B344" s="3"/>
      <c r="C344" s="5"/>
      <c r="D344" s="7">
        <v>670000</v>
      </c>
      <c r="E344" s="22"/>
      <c r="G344" s="2" t="s">
        <v>12</v>
      </c>
      <c r="H344" s="3"/>
      <c r="I344" s="5"/>
      <c r="J344" s="7">
        <v>670000</v>
      </c>
      <c r="M344" s="2" t="s">
        <v>12</v>
      </c>
      <c r="N344" s="3"/>
      <c r="O344" s="5"/>
      <c r="P344" s="7">
        <v>670000</v>
      </c>
      <c r="S344" s="2" t="s">
        <v>12</v>
      </c>
      <c r="T344" s="3"/>
      <c r="U344" s="5"/>
      <c r="V344" s="7">
        <v>670000</v>
      </c>
      <c r="Y344" s="2" t="s">
        <v>12</v>
      </c>
      <c r="Z344" s="3"/>
      <c r="AA344" s="5"/>
      <c r="AB344" s="7">
        <v>670000</v>
      </c>
    </row>
    <row r="345" spans="1:28" hidden="1" outlineLevel="1">
      <c r="A345" s="2" t="s">
        <v>13</v>
      </c>
      <c r="B345" s="1" t="s">
        <v>14</v>
      </c>
      <c r="C345" s="5">
        <f>(0.2*C337)+(0.13*C131)+(0.08*C339)+(0.32*C340)+(0.1*C341)</f>
        <v>3.286</v>
      </c>
      <c r="D345" s="1">
        <f>C345*25000</f>
        <v>82150</v>
      </c>
      <c r="E345" s="4"/>
      <c r="G345" s="2" t="s">
        <v>13</v>
      </c>
      <c r="H345" s="1" t="s">
        <v>14</v>
      </c>
      <c r="I345" s="5">
        <f>(0.2*I337)+(0.13*I131)+(0.08*I339)+(0.32*I340)+(0.1*I341)</f>
        <v>3.3860000000000006</v>
      </c>
      <c r="J345" s="1">
        <f>I345*25000</f>
        <v>84650.000000000015</v>
      </c>
      <c r="M345" s="2" t="s">
        <v>13</v>
      </c>
      <c r="N345" s="1" t="s">
        <v>14</v>
      </c>
      <c r="O345" s="5">
        <f>(0.2*O337)+(0.13*O131)+(0.08*O339)+(0.32*O340)+(0.1*O341)</f>
        <v>3.5859999999999999</v>
      </c>
      <c r="P345" s="1">
        <f>O345*25000</f>
        <v>89650</v>
      </c>
      <c r="S345" s="2" t="s">
        <v>13</v>
      </c>
      <c r="T345" s="1" t="s">
        <v>14</v>
      </c>
      <c r="U345" s="5">
        <f>(0.2*U337)+(0.13*U131)+(0.08*U339)+(0.32*U340)+(0.1*U341)</f>
        <v>3.5859999999999999</v>
      </c>
      <c r="V345" s="1">
        <f>U345*25000</f>
        <v>89650</v>
      </c>
      <c r="Y345" s="2" t="s">
        <v>13</v>
      </c>
      <c r="Z345" s="1" t="s">
        <v>14</v>
      </c>
      <c r="AA345" s="5">
        <f>(0.2*AA337)+(0.13*AA131)+(0.08*AA339)+(0.32*AA340)+(0.1*AA341)</f>
        <v>3.6860000000000004</v>
      </c>
      <c r="AB345" s="1">
        <f>AA345*25000</f>
        <v>92150.000000000015</v>
      </c>
    </row>
    <row r="346" spans="1:28" hidden="1" outlineLevel="1">
      <c r="A346" s="2" t="s">
        <v>19</v>
      </c>
      <c r="B346" s="2" t="s">
        <v>8</v>
      </c>
      <c r="C346" s="1">
        <f>21*2</f>
        <v>42</v>
      </c>
      <c r="D346" s="6">
        <f>10135*2*C346</f>
        <v>851340</v>
      </c>
      <c r="E346" s="4"/>
      <c r="G346" s="2" t="s">
        <v>19</v>
      </c>
      <c r="H346" s="2" t="s">
        <v>8</v>
      </c>
      <c r="I346" s="1">
        <f>25*2</f>
        <v>50</v>
      </c>
      <c r="J346" s="6">
        <f>10300*2*I346</f>
        <v>1030000</v>
      </c>
      <c r="M346" s="2" t="s">
        <v>19</v>
      </c>
      <c r="N346" s="2" t="s">
        <v>8</v>
      </c>
      <c r="O346" s="1">
        <f>28*2</f>
        <v>56</v>
      </c>
      <c r="P346" s="6">
        <f>10300*2*O346</f>
        <v>1153600</v>
      </c>
      <c r="S346" s="2" t="s">
        <v>19</v>
      </c>
      <c r="T346" s="2" t="s">
        <v>8</v>
      </c>
      <c r="U346" s="1">
        <f>31*2</f>
        <v>62</v>
      </c>
      <c r="V346" s="6">
        <f>10300*2*U346</f>
        <v>1277200</v>
      </c>
      <c r="Y346" s="2" t="s">
        <v>19</v>
      </c>
      <c r="Z346" s="2" t="s">
        <v>8</v>
      </c>
      <c r="AA346" s="1">
        <f>35*2</f>
        <v>70</v>
      </c>
      <c r="AB346" s="6">
        <f>10300*1.75*AA346</f>
        <v>1261750</v>
      </c>
    </row>
    <row r="347" spans="1:28" hidden="1" outlineLevel="1">
      <c r="A347" s="2" t="s">
        <v>16</v>
      </c>
      <c r="B347" s="2" t="s">
        <v>10</v>
      </c>
      <c r="C347" s="1">
        <v>1</v>
      </c>
      <c r="D347" s="1">
        <v>180000</v>
      </c>
      <c r="E347" s="4"/>
      <c r="G347" s="2" t="s">
        <v>16</v>
      </c>
      <c r="H347" s="2" t="s">
        <v>10</v>
      </c>
      <c r="I347" s="1">
        <v>1</v>
      </c>
      <c r="J347" s="1">
        <v>180000</v>
      </c>
      <c r="M347" s="2" t="s">
        <v>16</v>
      </c>
      <c r="N347" s="2" t="s">
        <v>10</v>
      </c>
      <c r="O347" s="1">
        <v>1</v>
      </c>
      <c r="P347" s="1">
        <v>180000</v>
      </c>
      <c r="S347" s="2" t="s">
        <v>16</v>
      </c>
      <c r="T347" s="2" t="s">
        <v>10</v>
      </c>
      <c r="U347" s="1">
        <v>1</v>
      </c>
      <c r="V347" s="1">
        <v>180000</v>
      </c>
      <c r="Y347" s="2" t="s">
        <v>16</v>
      </c>
      <c r="Z347" s="2" t="s">
        <v>10</v>
      </c>
      <c r="AA347" s="1">
        <v>1</v>
      </c>
      <c r="AB347" s="1">
        <v>180000</v>
      </c>
    </row>
    <row r="348" spans="1:28" hidden="1" outlineLevel="1">
      <c r="A348" s="2" t="s">
        <v>17</v>
      </c>
      <c r="B348" s="2" t="s">
        <v>10</v>
      </c>
      <c r="C348" s="1"/>
      <c r="D348" s="7">
        <v>871000</v>
      </c>
      <c r="E348" s="22"/>
      <c r="G348" s="2" t="s">
        <v>17</v>
      </c>
      <c r="H348" s="2" t="s">
        <v>10</v>
      </c>
      <c r="I348" s="1"/>
      <c r="J348" s="7">
        <v>871000</v>
      </c>
      <c r="M348" s="2" t="s">
        <v>17</v>
      </c>
      <c r="N348" s="2" t="s">
        <v>10</v>
      </c>
      <c r="O348" s="1"/>
      <c r="P348" s="7">
        <v>871000</v>
      </c>
      <c r="S348" s="2" t="s">
        <v>17</v>
      </c>
      <c r="T348" s="2" t="s">
        <v>10</v>
      </c>
      <c r="U348" s="1"/>
      <c r="V348" s="7">
        <v>871000</v>
      </c>
      <c r="Y348" s="2" t="s">
        <v>17</v>
      </c>
      <c r="Z348" s="2" t="s">
        <v>10</v>
      </c>
      <c r="AA348" s="1"/>
      <c r="AB348" s="7">
        <v>871000</v>
      </c>
    </row>
    <row r="349" spans="1:28" hidden="1" outlineLevel="1">
      <c r="A349" s="2" t="s">
        <v>48</v>
      </c>
      <c r="B349" s="10" t="s">
        <v>50</v>
      </c>
      <c r="C349" s="1"/>
      <c r="D349" s="1">
        <f>SUM(D337:D348)</f>
        <v>5069240.8873075005</v>
      </c>
      <c r="E349" s="4"/>
      <c r="G349" s="2" t="s">
        <v>48</v>
      </c>
      <c r="H349" s="10" t="s">
        <v>50</v>
      </c>
      <c r="I349" s="1"/>
      <c r="J349" s="1">
        <f>SUM(J337:J348)</f>
        <v>5278032.1952541666</v>
      </c>
      <c r="M349" s="2" t="s">
        <v>48</v>
      </c>
      <c r="N349" s="10" t="s">
        <v>50</v>
      </c>
      <c r="O349" s="1"/>
      <c r="P349" s="1">
        <f>SUM(P337:P348)</f>
        <v>5429707.0725874994</v>
      </c>
      <c r="S349" s="2" t="s">
        <v>48</v>
      </c>
      <c r="T349" s="10" t="s">
        <v>50</v>
      </c>
      <c r="U349" s="1"/>
      <c r="V349" s="1">
        <f>SUM(V337:V348)</f>
        <v>5561354.0249875002</v>
      </c>
      <c r="Y349" s="2" t="s">
        <v>48</v>
      </c>
      <c r="Z349" s="10" t="s">
        <v>50</v>
      </c>
      <c r="AA349" s="1"/>
      <c r="AB349" s="1">
        <f>SUM(AB337:AB348)</f>
        <v>5509306.0985874999</v>
      </c>
    </row>
    <row r="350" spans="1:28" hidden="1" outlineLevel="1">
      <c r="A350" s="2" t="s">
        <v>49</v>
      </c>
      <c r="B350" s="10" t="s">
        <v>51</v>
      </c>
      <c r="C350" s="1">
        <v>1.7</v>
      </c>
      <c r="D350" s="1">
        <f>D349*C350</f>
        <v>8617709.508422751</v>
      </c>
      <c r="E350" s="4"/>
      <c r="G350" s="2" t="s">
        <v>49</v>
      </c>
      <c r="H350" s="10" t="s">
        <v>51</v>
      </c>
      <c r="I350" s="1">
        <v>1.7</v>
      </c>
      <c r="J350" s="1">
        <f>J349*I350</f>
        <v>8972654.7319320831</v>
      </c>
      <c r="M350" s="2" t="s">
        <v>49</v>
      </c>
      <c r="N350" s="10" t="s">
        <v>51</v>
      </c>
      <c r="O350" s="1">
        <v>1.75</v>
      </c>
      <c r="P350" s="1">
        <f>P349*O350</f>
        <v>9501987.3770281244</v>
      </c>
      <c r="S350" s="2" t="s">
        <v>49</v>
      </c>
      <c r="T350" s="10" t="s">
        <v>51</v>
      </c>
      <c r="U350" s="1">
        <v>1.75</v>
      </c>
      <c r="V350" s="1">
        <f>V349*U350</f>
        <v>9732369.5437281244</v>
      </c>
      <c r="Y350" s="2" t="s">
        <v>49</v>
      </c>
      <c r="Z350" s="10" t="s">
        <v>51</v>
      </c>
      <c r="AA350" s="1">
        <v>1.8</v>
      </c>
      <c r="AB350" s="1">
        <f>AB349*AA350</f>
        <v>9916750.977457501</v>
      </c>
    </row>
    <row r="351" spans="1:28" hidden="1" outlineLevel="1">
      <c r="A351" s="2" t="s">
        <v>52</v>
      </c>
      <c r="B351" s="10" t="s">
        <v>51</v>
      </c>
      <c r="C351" s="2">
        <v>20</v>
      </c>
      <c r="D351" s="1">
        <f>D350*0.2</f>
        <v>1723541.9016845503</v>
      </c>
      <c r="E351" s="4"/>
      <c r="G351" s="2" t="s">
        <v>52</v>
      </c>
      <c r="H351" s="10" t="s">
        <v>51</v>
      </c>
      <c r="I351" s="2">
        <v>20</v>
      </c>
      <c r="J351" s="1">
        <f>J350*0.2</f>
        <v>1794530.9463864167</v>
      </c>
      <c r="M351" s="2" t="s">
        <v>52</v>
      </c>
      <c r="N351" s="10" t="s">
        <v>51</v>
      </c>
      <c r="O351" s="2">
        <v>20</v>
      </c>
      <c r="P351" s="1">
        <f>P350*0.2</f>
        <v>1900397.4754056251</v>
      </c>
      <c r="S351" s="2" t="s">
        <v>52</v>
      </c>
      <c r="T351" s="10" t="s">
        <v>51</v>
      </c>
      <c r="U351" s="2">
        <v>20</v>
      </c>
      <c r="V351" s="1">
        <f>V350*0.2</f>
        <v>1946473.9087456251</v>
      </c>
      <c r="Y351" s="2" t="s">
        <v>52</v>
      </c>
      <c r="Z351" s="10" t="s">
        <v>51</v>
      </c>
      <c r="AA351" s="2">
        <v>20</v>
      </c>
      <c r="AB351" s="1">
        <f>AB350*0.2</f>
        <v>1983350.1954915002</v>
      </c>
    </row>
    <row r="352" spans="1:28" collapsed="1">
      <c r="A352" s="2" t="s">
        <v>53</v>
      </c>
      <c r="B352" s="10"/>
      <c r="C352" s="1"/>
      <c r="D352" s="15">
        <f>D350+D351</f>
        <v>10341251.410107302</v>
      </c>
      <c r="E352" s="4"/>
      <c r="G352" s="2" t="s">
        <v>53</v>
      </c>
      <c r="H352" s="10"/>
      <c r="I352" s="1"/>
      <c r="J352" s="15">
        <f>J350+J351</f>
        <v>10767185.678318501</v>
      </c>
      <c r="M352" s="2" t="s">
        <v>53</v>
      </c>
      <c r="N352" s="10"/>
      <c r="O352" s="1"/>
      <c r="P352" s="15">
        <f>P350+P351</f>
        <v>11402384.852433749</v>
      </c>
      <c r="S352" s="2" t="s">
        <v>53</v>
      </c>
      <c r="T352" s="10"/>
      <c r="U352" s="1"/>
      <c r="V352" s="15">
        <f>V350+V351</f>
        <v>11678843.452473748</v>
      </c>
      <c r="Y352" s="2" t="s">
        <v>53</v>
      </c>
      <c r="Z352" s="10"/>
      <c r="AA352" s="1"/>
      <c r="AB352" s="15">
        <f>AB350+AB351</f>
        <v>11900101.172949001</v>
      </c>
    </row>
    <row r="355" spans="1:28">
      <c r="A355" s="1" t="s">
        <v>23</v>
      </c>
      <c r="B355" s="3" t="s">
        <v>55</v>
      </c>
      <c r="C355" s="5"/>
      <c r="D355" s="6"/>
      <c r="G355" s="1" t="s">
        <v>40</v>
      </c>
      <c r="M355" s="1" t="s">
        <v>21</v>
      </c>
      <c r="S355" s="1" t="s">
        <v>41</v>
      </c>
      <c r="Y355" s="1" t="s">
        <v>43</v>
      </c>
    </row>
    <row r="356" spans="1:28">
      <c r="A356" s="19" t="s">
        <v>0</v>
      </c>
      <c r="B356" s="24" t="s">
        <v>1</v>
      </c>
      <c r="C356" s="24" t="s">
        <v>2</v>
      </c>
      <c r="D356" s="24" t="s">
        <v>3</v>
      </c>
      <c r="G356" s="19" t="s">
        <v>0</v>
      </c>
      <c r="H356" s="19" t="s">
        <v>1</v>
      </c>
      <c r="I356" s="19" t="s">
        <v>2</v>
      </c>
      <c r="J356" s="19" t="s">
        <v>3</v>
      </c>
      <c r="M356" s="19" t="s">
        <v>0</v>
      </c>
      <c r="N356" s="19" t="s">
        <v>1</v>
      </c>
      <c r="O356" s="19" t="s">
        <v>2</v>
      </c>
      <c r="P356" s="19" t="s">
        <v>3</v>
      </c>
      <c r="S356" s="19" t="s">
        <v>0</v>
      </c>
      <c r="T356" s="19" t="s">
        <v>1</v>
      </c>
      <c r="U356" s="19" t="s">
        <v>2</v>
      </c>
      <c r="V356" s="19" t="s">
        <v>3</v>
      </c>
      <c r="Y356" s="19" t="s">
        <v>0</v>
      </c>
      <c r="Z356" s="19" t="s">
        <v>1</v>
      </c>
      <c r="AA356" s="19" t="s">
        <v>2</v>
      </c>
      <c r="AB356" s="19" t="s">
        <v>3</v>
      </c>
    </row>
    <row r="357" spans="1:28" hidden="1" outlineLevel="1">
      <c r="A357" s="1" t="s">
        <v>4</v>
      </c>
      <c r="B357" s="1" t="s">
        <v>8</v>
      </c>
      <c r="C357" s="1">
        <v>11</v>
      </c>
      <c r="D357" s="1">
        <f>9354680/1.2/1000*2.96*C357+(28000*2)</f>
        <v>309823.65066666668</v>
      </c>
      <c r="G357" s="1" t="s">
        <v>4</v>
      </c>
      <c r="H357" s="1" t="s">
        <v>8</v>
      </c>
      <c r="I357" s="1">
        <v>11.5</v>
      </c>
      <c r="J357" s="1">
        <f>9354680/1.2/1000*2.96*I357+(28000*2)</f>
        <v>321361.08933333337</v>
      </c>
      <c r="M357" s="1" t="s">
        <v>4</v>
      </c>
      <c r="N357" s="1" t="s">
        <v>8</v>
      </c>
      <c r="O357" s="1">
        <v>12.5</v>
      </c>
      <c r="P357" s="1">
        <f>9354680/1.2/1000*2.96*O357+(28000*2)</f>
        <v>344435.96666666667</v>
      </c>
      <c r="S357" s="1" t="s">
        <v>4</v>
      </c>
      <c r="T357" s="1" t="s">
        <v>8</v>
      </c>
      <c r="U357" s="1">
        <v>12.5</v>
      </c>
      <c r="V357" s="1">
        <f>9354680/1.2/1000*2.96*U357+(28000*2)</f>
        <v>344435.96666666667</v>
      </c>
      <c r="Y357" s="1" t="s">
        <v>4</v>
      </c>
      <c r="Z357" s="1" t="s">
        <v>8</v>
      </c>
      <c r="AA357" s="1">
        <v>13</v>
      </c>
      <c r="AB357" s="1">
        <f>9354680/1.2/1000*2.96*AA357+(28000*2)</f>
        <v>355973.40533333336</v>
      </c>
    </row>
    <row r="358" spans="1:28" hidden="1" outlineLevel="1">
      <c r="A358" s="1" t="s">
        <v>5</v>
      </c>
      <c r="B358" s="1" t="s">
        <v>8</v>
      </c>
      <c r="C358" s="1">
        <v>4.8</v>
      </c>
      <c r="D358" s="1">
        <f>10874266/1.2/1000*1.48*C358</f>
        <v>64375.654720000006</v>
      </c>
      <c r="G358" s="1" t="s">
        <v>5</v>
      </c>
      <c r="H358" s="1" t="s">
        <v>8</v>
      </c>
      <c r="I358" s="1">
        <v>6</v>
      </c>
      <c r="J358" s="1">
        <f>10874260/1.2/1000*1.48*I358</f>
        <v>80469.524000000005</v>
      </c>
      <c r="M358" s="1" t="s">
        <v>5</v>
      </c>
      <c r="N358" s="1" t="s">
        <v>8</v>
      </c>
      <c r="O358" s="1">
        <v>6</v>
      </c>
      <c r="P358" s="1">
        <f>10874260/1.2/1000*1.48*O358</f>
        <v>80469.524000000005</v>
      </c>
      <c r="S358" s="1" t="s">
        <v>5</v>
      </c>
      <c r="T358" s="1" t="s">
        <v>8</v>
      </c>
      <c r="U358" s="1">
        <v>6.6</v>
      </c>
      <c r="V358" s="1">
        <f>10874260/1.2/1000*1.48*U358</f>
        <v>88516.4764</v>
      </c>
      <c r="Y358" s="1" t="s">
        <v>5</v>
      </c>
      <c r="Z358" s="1" t="s">
        <v>8</v>
      </c>
      <c r="AA358" s="1">
        <v>7</v>
      </c>
      <c r="AB358" s="1">
        <f>10874260/1.2/1000*1.48*AA358</f>
        <v>93881.111333333334</v>
      </c>
    </row>
    <row r="359" spans="1:28" hidden="1" outlineLevel="1">
      <c r="A359" s="1" t="s">
        <v>6</v>
      </c>
      <c r="B359" s="1" t="s">
        <v>8</v>
      </c>
      <c r="C359" s="1"/>
      <c r="D359" s="1">
        <f>9351600/1.2/1000*1.08*C359</f>
        <v>0</v>
      </c>
      <c r="G359" s="1" t="s">
        <v>6</v>
      </c>
      <c r="H359" s="1" t="s">
        <v>8</v>
      </c>
      <c r="I359" s="1"/>
      <c r="J359" s="1">
        <f>9351600/1.2/1000*1.08*I359</f>
        <v>0</v>
      </c>
      <c r="M359" s="1" t="s">
        <v>6</v>
      </c>
      <c r="N359" s="1" t="s">
        <v>8</v>
      </c>
      <c r="O359" s="1"/>
      <c r="P359" s="1">
        <f>9351600/1.2/1000*1.08*O359</f>
        <v>0</v>
      </c>
      <c r="S359" s="1" t="s">
        <v>6</v>
      </c>
      <c r="T359" s="1" t="s">
        <v>8</v>
      </c>
      <c r="U359" s="1"/>
      <c r="V359" s="1">
        <f>9351600/1.2/1000*1.08*U359</f>
        <v>0</v>
      </c>
      <c r="Y359" s="1" t="s">
        <v>6</v>
      </c>
      <c r="Z359" s="1" t="s">
        <v>8</v>
      </c>
      <c r="AA359" s="1"/>
      <c r="AB359" s="1">
        <f>9351600/1.2/1000*1.08*AA359</f>
        <v>0</v>
      </c>
    </row>
    <row r="360" spans="1:28" hidden="1" outlineLevel="1">
      <c r="A360" s="1" t="s">
        <v>7</v>
      </c>
      <c r="B360" s="1" t="s">
        <v>8</v>
      </c>
      <c r="C360" s="1">
        <v>2.0499999999999998</v>
      </c>
      <c r="D360" s="1">
        <f>9819170/1.2/1000*7.13*C360</f>
        <v>119601.58192083334</v>
      </c>
      <c r="G360" s="1" t="s">
        <v>7</v>
      </c>
      <c r="H360" s="1" t="s">
        <v>8</v>
      </c>
      <c r="I360" s="1">
        <v>2.0499999999999998</v>
      </c>
      <c r="J360" s="1">
        <f>9819170/1.2/1000*7.13*I360</f>
        <v>119601.58192083334</v>
      </c>
      <c r="M360" s="1" t="s">
        <v>7</v>
      </c>
      <c r="N360" s="1" t="s">
        <v>8</v>
      </c>
      <c r="O360" s="1">
        <v>2.0499999999999998</v>
      </c>
      <c r="P360" s="1">
        <f>9819170/1.2/1000*7.13*O360</f>
        <v>119601.58192083334</v>
      </c>
      <c r="S360" s="1" t="s">
        <v>7</v>
      </c>
      <c r="T360" s="1" t="s">
        <v>8</v>
      </c>
      <c r="U360" s="1">
        <v>2.0499999999999998</v>
      </c>
      <c r="V360" s="1">
        <f>9819170/1.2/1000*7.13*U360</f>
        <v>119601.58192083334</v>
      </c>
      <c r="Y360" s="1" t="s">
        <v>7</v>
      </c>
      <c r="Z360" s="1" t="s">
        <v>8</v>
      </c>
      <c r="AA360" s="1">
        <v>2.0499999999999998</v>
      </c>
      <c r="AB360" s="1">
        <f>9819170/1.2/1000*7.13*AA360</f>
        <v>119601.58192083334</v>
      </c>
    </row>
    <row r="361" spans="1:28" hidden="1" outlineLevel="1">
      <c r="A361" s="1" t="s">
        <v>20</v>
      </c>
      <c r="B361" s="1" t="s">
        <v>8</v>
      </c>
      <c r="C361" s="1">
        <v>4.3</v>
      </c>
      <c r="D361" s="1">
        <f>C361*16500</f>
        <v>70950</v>
      </c>
      <c r="G361" s="1" t="s">
        <v>20</v>
      </c>
      <c r="H361" s="1" t="s">
        <v>8</v>
      </c>
      <c r="I361" s="1">
        <v>4.3</v>
      </c>
      <c r="J361" s="1">
        <f>I361*16500</f>
        <v>70950</v>
      </c>
      <c r="M361" s="1" t="s">
        <v>20</v>
      </c>
      <c r="N361" s="1" t="s">
        <v>8</v>
      </c>
      <c r="O361" s="1">
        <v>4.3</v>
      </c>
      <c r="P361" s="1">
        <f>O361*16500</f>
        <v>70950</v>
      </c>
      <c r="S361" s="1" t="s">
        <v>20</v>
      </c>
      <c r="T361" s="1" t="s">
        <v>8</v>
      </c>
      <c r="U361" s="1">
        <v>4.3</v>
      </c>
      <c r="V361" s="1">
        <f>U361*16500</f>
        <v>70950</v>
      </c>
      <c r="Y361" s="1" t="s">
        <v>20</v>
      </c>
      <c r="Z361" s="1" t="s">
        <v>8</v>
      </c>
      <c r="AA361" s="1">
        <v>4.3</v>
      </c>
      <c r="AB361" s="1">
        <f>AA361*16500</f>
        <v>70950</v>
      </c>
    </row>
    <row r="362" spans="1:28" hidden="1" outlineLevel="1">
      <c r="A362" s="2" t="s">
        <v>9</v>
      </c>
      <c r="B362" s="2" t="s">
        <v>10</v>
      </c>
      <c r="C362" s="1">
        <v>1</v>
      </c>
      <c r="D362" s="1">
        <f>2076000/1.2</f>
        <v>1730000</v>
      </c>
      <c r="G362" s="2" t="s">
        <v>9</v>
      </c>
      <c r="H362" s="2" t="s">
        <v>10</v>
      </c>
      <c r="I362" s="1">
        <v>1</v>
      </c>
      <c r="J362" s="1">
        <f>2076000/1.2</f>
        <v>1730000</v>
      </c>
      <c r="M362" s="2" t="s">
        <v>9</v>
      </c>
      <c r="N362" s="2" t="s">
        <v>10</v>
      </c>
      <c r="O362" s="1">
        <v>1</v>
      </c>
      <c r="P362" s="1">
        <f>2076000/1.2</f>
        <v>1730000</v>
      </c>
      <c r="S362" s="2" t="s">
        <v>9</v>
      </c>
      <c r="T362" s="2" t="s">
        <v>10</v>
      </c>
      <c r="U362" s="1">
        <v>1</v>
      </c>
      <c r="V362" s="1">
        <f>2076000/1.2</f>
        <v>1730000</v>
      </c>
      <c r="Y362" s="2" t="s">
        <v>9</v>
      </c>
      <c r="Z362" s="2" t="s">
        <v>10</v>
      </c>
      <c r="AA362" s="1">
        <v>1</v>
      </c>
      <c r="AB362" s="1">
        <f>2076000/1.2</f>
        <v>1730000</v>
      </c>
    </row>
    <row r="363" spans="1:28" hidden="1" outlineLevel="1">
      <c r="A363" s="2" t="s">
        <v>11</v>
      </c>
      <c r="B363" s="3"/>
      <c r="C363" s="5"/>
      <c r="D363" s="7">
        <v>120000</v>
      </c>
      <c r="G363" s="2" t="s">
        <v>11</v>
      </c>
      <c r="H363" s="3"/>
      <c r="I363" s="5"/>
      <c r="J363" s="7">
        <v>120000</v>
      </c>
      <c r="M363" s="2" t="s">
        <v>11</v>
      </c>
      <c r="N363" s="3"/>
      <c r="O363" s="5"/>
      <c r="P363" s="7">
        <v>120000</v>
      </c>
      <c r="S363" s="2" t="s">
        <v>11</v>
      </c>
      <c r="T363" s="3"/>
      <c r="U363" s="5"/>
      <c r="V363" s="7">
        <v>120000</v>
      </c>
      <c r="Y363" s="2" t="s">
        <v>11</v>
      </c>
      <c r="Z363" s="3"/>
      <c r="AA363" s="5"/>
      <c r="AB363" s="7">
        <v>120000</v>
      </c>
    </row>
    <row r="364" spans="1:28" hidden="1" outlineLevel="1">
      <c r="A364" s="2" t="s">
        <v>12</v>
      </c>
      <c r="B364" s="3"/>
      <c r="C364" s="5"/>
      <c r="D364" s="7">
        <v>670000</v>
      </c>
      <c r="G364" s="2" t="s">
        <v>12</v>
      </c>
      <c r="H364" s="3"/>
      <c r="I364" s="5"/>
      <c r="J364" s="7">
        <v>670000</v>
      </c>
      <c r="M364" s="2" t="s">
        <v>12</v>
      </c>
      <c r="N364" s="3"/>
      <c r="O364" s="5"/>
      <c r="P364" s="7">
        <v>670000</v>
      </c>
      <c r="S364" s="2" t="s">
        <v>12</v>
      </c>
      <c r="T364" s="3"/>
      <c r="U364" s="5"/>
      <c r="V364" s="7">
        <v>670000</v>
      </c>
      <c r="Y364" s="2" t="s">
        <v>12</v>
      </c>
      <c r="Z364" s="3"/>
      <c r="AA364" s="5"/>
      <c r="AB364" s="7">
        <v>670000</v>
      </c>
    </row>
    <row r="365" spans="1:28" hidden="1" outlineLevel="1">
      <c r="A365" s="2" t="s">
        <v>13</v>
      </c>
      <c r="B365" s="1" t="s">
        <v>14</v>
      </c>
      <c r="C365" s="5">
        <f>(0.2*C357)+(0.13*C290)+(0.08*C359)+(0.32*C360)+(0.1*C361)</f>
        <v>3.286</v>
      </c>
      <c r="D365" s="1">
        <f>C365*25000</f>
        <v>82150</v>
      </c>
      <c r="G365" s="2" t="s">
        <v>13</v>
      </c>
      <c r="H365" s="1" t="s">
        <v>14</v>
      </c>
      <c r="I365" s="5">
        <f>(0.2*I357)+(0.13*I290)+(0.08*I359)+(0.32*I360)+(0.1*I361)</f>
        <v>3.3860000000000006</v>
      </c>
      <c r="J365" s="1">
        <f>I365*25000</f>
        <v>84650.000000000015</v>
      </c>
      <c r="M365" s="2" t="s">
        <v>13</v>
      </c>
      <c r="N365" s="1" t="s">
        <v>14</v>
      </c>
      <c r="O365" s="5">
        <f>(0.2*O357)+(0.13*O290)+(0.08*O359)+(0.32*O360)+(0.1*O361)</f>
        <v>3.5859999999999999</v>
      </c>
      <c r="P365" s="1">
        <f>O365*25000</f>
        <v>89650</v>
      </c>
      <c r="S365" s="2" t="s">
        <v>13</v>
      </c>
      <c r="T365" s="1" t="s">
        <v>14</v>
      </c>
      <c r="U365" s="5">
        <f>(0.2*U357)+(0.13*U290)+(0.08*U359)+(0.32*U360)+(0.1*U361)</f>
        <v>3.5859999999999999</v>
      </c>
      <c r="V365" s="1">
        <f>U365*25000</f>
        <v>89650</v>
      </c>
      <c r="Y365" s="2" t="s">
        <v>13</v>
      </c>
      <c r="Z365" s="1" t="s">
        <v>14</v>
      </c>
      <c r="AA365" s="5">
        <f>(0.2*AA357)+(0.13*AA290)+(0.08*AA359)+(0.32*AA360)+(0.1*AA361)</f>
        <v>3.6860000000000004</v>
      </c>
      <c r="AB365" s="1">
        <f>AA365*25000</f>
        <v>92150.000000000015</v>
      </c>
    </row>
    <row r="366" spans="1:28" hidden="1" outlineLevel="1">
      <c r="A366" s="2" t="s">
        <v>19</v>
      </c>
      <c r="B366" s="2" t="s">
        <v>8</v>
      </c>
      <c r="C366" s="1">
        <f>21*2</f>
        <v>42</v>
      </c>
      <c r="D366" s="6">
        <f>13000*1.75*C366</f>
        <v>955500</v>
      </c>
      <c r="G366" s="2" t="s">
        <v>19</v>
      </c>
      <c r="H366" s="2" t="s">
        <v>8</v>
      </c>
      <c r="I366" s="1">
        <f>25*2</f>
        <v>50</v>
      </c>
      <c r="J366" s="6">
        <f>13300*1.75*I366</f>
        <v>1163750</v>
      </c>
      <c r="M366" s="2" t="s">
        <v>19</v>
      </c>
      <c r="N366" s="2" t="s">
        <v>8</v>
      </c>
      <c r="O366" s="1">
        <f>28*2</f>
        <v>56</v>
      </c>
      <c r="P366" s="6">
        <f>13300*1.75*O366</f>
        <v>1303400</v>
      </c>
      <c r="S366" s="2" t="s">
        <v>19</v>
      </c>
      <c r="T366" s="2" t="s">
        <v>8</v>
      </c>
      <c r="U366" s="1">
        <f>31*2</f>
        <v>62</v>
      </c>
      <c r="V366" s="6">
        <f>13300*1.75*U366</f>
        <v>1443050</v>
      </c>
      <c r="Y366" s="2" t="s">
        <v>19</v>
      </c>
      <c r="Z366" s="2" t="s">
        <v>8</v>
      </c>
      <c r="AA366" s="1">
        <f>35*2</f>
        <v>70</v>
      </c>
      <c r="AB366" s="6">
        <f>13300*1.75*AA366</f>
        <v>1629250</v>
      </c>
    </row>
    <row r="367" spans="1:28" hidden="1" outlineLevel="1">
      <c r="A367" s="2" t="s">
        <v>16</v>
      </c>
      <c r="B367" s="2" t="s">
        <v>10</v>
      </c>
      <c r="C367" s="1">
        <v>1</v>
      </c>
      <c r="D367" s="1">
        <v>180000</v>
      </c>
      <c r="G367" s="2" t="s">
        <v>16</v>
      </c>
      <c r="H367" s="2" t="s">
        <v>10</v>
      </c>
      <c r="I367" s="1">
        <v>1</v>
      </c>
      <c r="J367" s="1">
        <v>180000</v>
      </c>
      <c r="M367" s="2" t="s">
        <v>16</v>
      </c>
      <c r="N367" s="2" t="s">
        <v>10</v>
      </c>
      <c r="O367" s="1">
        <v>1</v>
      </c>
      <c r="P367" s="1">
        <v>180000</v>
      </c>
      <c r="S367" s="2" t="s">
        <v>16</v>
      </c>
      <c r="T367" s="2" t="s">
        <v>10</v>
      </c>
      <c r="U367" s="1">
        <v>1</v>
      </c>
      <c r="V367" s="1">
        <v>180000</v>
      </c>
      <c r="Y367" s="2" t="s">
        <v>16</v>
      </c>
      <c r="Z367" s="2" t="s">
        <v>10</v>
      </c>
      <c r="AA367" s="1">
        <v>1</v>
      </c>
      <c r="AB367" s="1">
        <v>180000</v>
      </c>
    </row>
    <row r="368" spans="1:28" hidden="1" outlineLevel="1">
      <c r="A368" s="2" t="s">
        <v>17</v>
      </c>
      <c r="B368" s="2" t="s">
        <v>10</v>
      </c>
      <c r="C368" s="1"/>
      <c r="D368" s="7">
        <v>871000</v>
      </c>
      <c r="G368" s="2" t="s">
        <v>17</v>
      </c>
      <c r="H368" s="2" t="s">
        <v>10</v>
      </c>
      <c r="I368" s="1"/>
      <c r="J368" s="7">
        <v>871000</v>
      </c>
      <c r="M368" s="2" t="s">
        <v>17</v>
      </c>
      <c r="N368" s="2" t="s">
        <v>10</v>
      </c>
      <c r="O368" s="1"/>
      <c r="P368" s="7">
        <v>871000</v>
      </c>
      <c r="S368" s="2" t="s">
        <v>17</v>
      </c>
      <c r="T368" s="2" t="s">
        <v>10</v>
      </c>
      <c r="U368" s="1"/>
      <c r="V368" s="7">
        <v>871000</v>
      </c>
      <c r="Y368" s="2" t="s">
        <v>17</v>
      </c>
      <c r="Z368" s="2" t="s">
        <v>10</v>
      </c>
      <c r="AA368" s="1"/>
      <c r="AB368" s="7">
        <v>871000</v>
      </c>
    </row>
    <row r="369" spans="1:28" hidden="1" outlineLevel="1">
      <c r="A369" s="2" t="s">
        <v>48</v>
      </c>
      <c r="B369" s="10" t="s">
        <v>50</v>
      </c>
      <c r="C369" s="1"/>
      <c r="D369" s="1">
        <f>SUM(D357:D368)</f>
        <v>5173400.8873075005</v>
      </c>
      <c r="G369" s="2" t="s">
        <v>48</v>
      </c>
      <c r="H369" s="10" t="s">
        <v>50</v>
      </c>
      <c r="I369" s="1"/>
      <c r="J369" s="1">
        <f>SUM(J357:J368)</f>
        <v>5411782.1952541666</v>
      </c>
      <c r="M369" s="2" t="s">
        <v>48</v>
      </c>
      <c r="N369" s="10" t="s">
        <v>50</v>
      </c>
      <c r="O369" s="1"/>
      <c r="P369" s="1">
        <f>SUM(P357:P368)</f>
        <v>5579507.0725874994</v>
      </c>
      <c r="S369" s="2" t="s">
        <v>48</v>
      </c>
      <c r="T369" s="10" t="s">
        <v>50</v>
      </c>
      <c r="U369" s="1"/>
      <c r="V369" s="1">
        <f>SUM(V357:V368)</f>
        <v>5727204.0249875002</v>
      </c>
      <c r="Y369" s="2" t="s">
        <v>48</v>
      </c>
      <c r="Z369" s="10" t="s">
        <v>50</v>
      </c>
      <c r="AA369" s="1"/>
      <c r="AB369" s="1">
        <f>SUM(AB357:AB368)</f>
        <v>5932806.0985874999</v>
      </c>
    </row>
    <row r="370" spans="1:28" hidden="1" outlineLevel="1">
      <c r="A370" s="2" t="s">
        <v>49</v>
      </c>
      <c r="B370" s="10" t="s">
        <v>51</v>
      </c>
      <c r="C370" s="1">
        <v>1.7</v>
      </c>
      <c r="D370" s="1">
        <f>D369*C370</f>
        <v>8794781.508422751</v>
      </c>
      <c r="G370" s="2" t="s">
        <v>49</v>
      </c>
      <c r="H370" s="10" t="s">
        <v>51</v>
      </c>
      <c r="I370" s="1">
        <v>1.7</v>
      </c>
      <c r="J370" s="1">
        <f>J369*I370</f>
        <v>9200029.7319320831</v>
      </c>
      <c r="M370" s="2" t="s">
        <v>49</v>
      </c>
      <c r="N370" s="10" t="s">
        <v>51</v>
      </c>
      <c r="O370" s="1">
        <v>1.7</v>
      </c>
      <c r="P370" s="1">
        <f>P369*O370</f>
        <v>9485162.0233987495</v>
      </c>
      <c r="S370" s="2" t="s">
        <v>49</v>
      </c>
      <c r="T370" s="10" t="s">
        <v>51</v>
      </c>
      <c r="U370" s="1">
        <v>1.7</v>
      </c>
      <c r="V370" s="1">
        <f>V369*U370</f>
        <v>9736246.8424787503</v>
      </c>
      <c r="Y370" s="2" t="s">
        <v>49</v>
      </c>
      <c r="Z370" s="10" t="s">
        <v>51</v>
      </c>
      <c r="AA370" s="1">
        <v>1.7</v>
      </c>
      <c r="AB370" s="1">
        <f>AA370*AB369</f>
        <v>10085770.36759875</v>
      </c>
    </row>
    <row r="371" spans="1:28" hidden="1" outlineLevel="1">
      <c r="A371" s="2" t="s">
        <v>52</v>
      </c>
      <c r="B371" s="10" t="s">
        <v>51</v>
      </c>
      <c r="C371" s="2">
        <v>20</v>
      </c>
      <c r="D371" s="1">
        <f>D370*0.2</f>
        <v>1758956.3016845502</v>
      </c>
      <c r="G371" s="2" t="s">
        <v>52</v>
      </c>
      <c r="H371" s="10" t="s">
        <v>51</v>
      </c>
      <c r="I371" s="2">
        <v>20</v>
      </c>
      <c r="J371" s="1">
        <f>J370*0.2</f>
        <v>1840005.9463864167</v>
      </c>
      <c r="M371" s="2" t="s">
        <v>52</v>
      </c>
      <c r="N371" s="10" t="s">
        <v>51</v>
      </c>
      <c r="O371" s="2">
        <v>20</v>
      </c>
      <c r="P371" s="1">
        <f>P370*0.2</f>
        <v>1897032.4046797501</v>
      </c>
      <c r="S371" s="2" t="s">
        <v>52</v>
      </c>
      <c r="T371" s="10" t="s">
        <v>51</v>
      </c>
      <c r="U371" s="2">
        <v>20</v>
      </c>
      <c r="V371" s="1">
        <f>V370*0.2</f>
        <v>1947249.3684957502</v>
      </c>
      <c r="Y371" s="2" t="s">
        <v>52</v>
      </c>
      <c r="Z371" s="10" t="s">
        <v>51</v>
      </c>
      <c r="AA371" s="2">
        <v>20</v>
      </c>
      <c r="AB371" s="1">
        <f>AB370*0.2</f>
        <v>2017154.07351975</v>
      </c>
    </row>
    <row r="372" spans="1:28" collapsed="1">
      <c r="A372" s="2" t="s">
        <v>53</v>
      </c>
      <c r="B372" s="10"/>
      <c r="C372" s="1"/>
      <c r="D372" s="15">
        <f>D370+D371</f>
        <v>10553737.810107302</v>
      </c>
      <c r="G372" s="2" t="s">
        <v>53</v>
      </c>
      <c r="H372" s="10"/>
      <c r="I372" s="1"/>
      <c r="J372" s="15">
        <f>J370+J371</f>
        <v>11040035.678318501</v>
      </c>
      <c r="M372" s="2" t="s">
        <v>53</v>
      </c>
      <c r="N372" s="10"/>
      <c r="O372" s="1"/>
      <c r="P372" s="15">
        <f>P370+P371</f>
        <v>11382194.428078499</v>
      </c>
      <c r="S372" s="2" t="s">
        <v>53</v>
      </c>
      <c r="T372" s="10"/>
      <c r="U372" s="1"/>
      <c r="V372" s="15">
        <f>V370+V371</f>
        <v>11683496.2109745</v>
      </c>
      <c r="Y372" s="2" t="s">
        <v>53</v>
      </c>
      <c r="Z372" s="10"/>
      <c r="AA372" s="1"/>
      <c r="AB372" s="15">
        <f>AB370+AB371</f>
        <v>12102924.441118499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2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H14"/>
  <sheetViews>
    <sheetView workbookViewId="0">
      <selection activeCell="B7" sqref="B7:G7"/>
    </sheetView>
  </sheetViews>
  <sheetFormatPr defaultRowHeight="15"/>
  <cols>
    <col min="1" max="1" width="3.85546875" customWidth="1"/>
    <col min="2" max="2" width="34.5703125" customWidth="1"/>
    <col min="5" max="5" width="16.7109375" customWidth="1"/>
    <col min="6" max="7" width="15" customWidth="1"/>
    <col min="8" max="8" width="17.85546875" customWidth="1"/>
  </cols>
  <sheetData>
    <row r="2" spans="2:8">
      <c r="B2" s="8" t="s">
        <v>0</v>
      </c>
      <c r="C2" s="8" t="s">
        <v>24</v>
      </c>
      <c r="D2" s="8" t="s">
        <v>25</v>
      </c>
      <c r="E2" s="12" t="s">
        <v>26</v>
      </c>
      <c r="F2" s="10" t="s">
        <v>27</v>
      </c>
      <c r="G2" s="10" t="s">
        <v>30</v>
      </c>
      <c r="H2" s="10" t="s">
        <v>28</v>
      </c>
    </row>
    <row r="3" spans="2:8">
      <c r="B3" s="1" t="s">
        <v>29</v>
      </c>
      <c r="C3" s="10" t="s">
        <v>8</v>
      </c>
      <c r="D3" s="8">
        <v>91.5</v>
      </c>
      <c r="E3" s="8">
        <v>28500</v>
      </c>
      <c r="F3" s="8">
        <v>20</v>
      </c>
      <c r="G3" s="8">
        <f>E3*0.8</f>
        <v>22800</v>
      </c>
      <c r="H3" s="8">
        <f t="shared" ref="H3:H9" si="0">G3*D3</f>
        <v>2086200</v>
      </c>
    </row>
    <row r="4" spans="2:8">
      <c r="B4" s="1" t="s">
        <v>31</v>
      </c>
      <c r="C4" s="10" t="s">
        <v>8</v>
      </c>
      <c r="D4" s="8">
        <v>14.4</v>
      </c>
      <c r="E4" s="8">
        <v>28500</v>
      </c>
      <c r="F4" s="8">
        <v>20</v>
      </c>
      <c r="G4" s="8">
        <f>E4*0.8</f>
        <v>22800</v>
      </c>
      <c r="H4" s="8">
        <f t="shared" si="0"/>
        <v>328320</v>
      </c>
    </row>
    <row r="5" spans="2:8">
      <c r="B5" s="2" t="s">
        <v>32</v>
      </c>
      <c r="C5" s="10" t="s">
        <v>10</v>
      </c>
      <c r="D5" s="8">
        <v>4</v>
      </c>
      <c r="E5" s="8">
        <v>146680</v>
      </c>
      <c r="F5" s="13">
        <v>0.15</v>
      </c>
      <c r="G5" s="8">
        <f>E5*0.85</f>
        <v>124678</v>
      </c>
      <c r="H5" s="8">
        <f t="shared" si="0"/>
        <v>498712</v>
      </c>
    </row>
    <row r="6" spans="2:8">
      <c r="B6" s="2" t="s">
        <v>33</v>
      </c>
      <c r="C6" s="10" t="s">
        <v>10</v>
      </c>
      <c r="D6" s="8">
        <v>1</v>
      </c>
      <c r="E6" s="8">
        <v>183450</v>
      </c>
      <c r="F6" s="13">
        <v>0.15</v>
      </c>
      <c r="G6" s="8">
        <f>E6*0.85</f>
        <v>155932.5</v>
      </c>
      <c r="H6" s="8">
        <f t="shared" si="0"/>
        <v>155932.5</v>
      </c>
    </row>
    <row r="7" spans="2:8">
      <c r="B7" s="2" t="s">
        <v>34</v>
      </c>
      <c r="C7" s="10" t="s">
        <v>10</v>
      </c>
      <c r="D7" s="8">
        <v>5</v>
      </c>
      <c r="E7" s="10">
        <v>6000</v>
      </c>
      <c r="F7" s="13">
        <v>0.2</v>
      </c>
      <c r="G7" s="8">
        <f>E7*0.8</f>
        <v>4800</v>
      </c>
      <c r="H7" s="8">
        <f t="shared" si="0"/>
        <v>24000</v>
      </c>
    </row>
    <row r="8" spans="2:8">
      <c r="B8" s="2" t="s">
        <v>35</v>
      </c>
      <c r="C8" s="10" t="s">
        <v>10</v>
      </c>
      <c r="D8" s="10">
        <v>1</v>
      </c>
      <c r="E8" s="10">
        <v>82420</v>
      </c>
      <c r="F8" s="13">
        <v>0.15</v>
      </c>
      <c r="G8" s="8">
        <f>E8*0.85</f>
        <v>70057</v>
      </c>
      <c r="H8" s="8">
        <f t="shared" si="0"/>
        <v>70057</v>
      </c>
    </row>
    <row r="9" spans="2:8">
      <c r="B9" s="2" t="s">
        <v>37</v>
      </c>
      <c r="C9" s="10" t="s">
        <v>8</v>
      </c>
      <c r="D9" s="1">
        <v>22.2</v>
      </c>
      <c r="E9" s="8">
        <v>40442</v>
      </c>
      <c r="F9" s="13">
        <v>0.15</v>
      </c>
      <c r="G9" s="8">
        <f>E9*0.85</f>
        <v>34375.699999999997</v>
      </c>
      <c r="H9" s="8">
        <f t="shared" si="0"/>
        <v>763140.53999999992</v>
      </c>
    </row>
    <row r="10" spans="2:8">
      <c r="B10" s="2" t="s">
        <v>36</v>
      </c>
      <c r="H10" s="15">
        <f>SUM(H3:H9)</f>
        <v>3926362.04</v>
      </c>
    </row>
    <row r="12" spans="2:8">
      <c r="B12" s="1" t="s">
        <v>38</v>
      </c>
      <c r="C12" s="10" t="s">
        <v>10</v>
      </c>
      <c r="D12" s="1">
        <v>4</v>
      </c>
      <c r="E12" s="16">
        <v>160000</v>
      </c>
      <c r="H12" s="14">
        <f>E12*D12</f>
        <v>640000</v>
      </c>
    </row>
    <row r="14" spans="2:8" ht="18.75">
      <c r="B14" s="1" t="s">
        <v>39</v>
      </c>
      <c r="H14" s="17">
        <f>H10+H12</f>
        <v>4566362.04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>
      <selection activeCell="L26" sqref="L26"/>
    </sheetView>
  </sheetViews>
  <sheetFormatPr defaultRowHeight="15"/>
  <cols>
    <col min="1" max="6" width="8.7109375" customWidth="1"/>
    <col min="9" max="9" width="9.140625" customWidth="1"/>
  </cols>
  <sheetData>
    <row r="1" spans="1:14" ht="61.5">
      <c r="A1" s="278" t="s">
        <v>114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279"/>
      <c r="M1" s="279"/>
      <c r="N1" s="279"/>
    </row>
    <row r="2" spans="1:14" ht="21">
      <c r="A2" s="151" t="s">
        <v>156</v>
      </c>
      <c r="B2" s="151"/>
      <c r="C2" s="151"/>
      <c r="D2" s="151"/>
      <c r="E2" s="152"/>
      <c r="F2" s="152"/>
    </row>
    <row r="4" spans="1:14">
      <c r="A4" s="158" t="s">
        <v>157</v>
      </c>
      <c r="B4" s="158"/>
      <c r="C4" s="158"/>
      <c r="D4" s="158"/>
      <c r="E4" s="158"/>
      <c r="F4" s="158"/>
    </row>
    <row r="5" spans="1:14">
      <c r="A5" s="148" t="s">
        <v>123</v>
      </c>
      <c r="B5" s="149"/>
      <c r="C5" s="148" t="s">
        <v>124</v>
      </c>
      <c r="D5" s="149"/>
      <c r="E5" s="148" t="s">
        <v>69</v>
      </c>
      <c r="F5" s="149"/>
    </row>
    <row r="6" spans="1:14">
      <c r="A6" s="121" t="s">
        <v>75</v>
      </c>
      <c r="B6" s="121" t="s">
        <v>67</v>
      </c>
      <c r="C6" s="121" t="s">
        <v>75</v>
      </c>
      <c r="D6" s="121" t="s">
        <v>67</v>
      </c>
      <c r="E6" s="121" t="s">
        <v>75</v>
      </c>
      <c r="F6" s="124" t="s">
        <v>67</v>
      </c>
    </row>
    <row r="7" spans="1:14">
      <c r="A7" s="125" t="s">
        <v>125</v>
      </c>
      <c r="B7" s="126">
        <v>6200000</v>
      </c>
      <c r="C7" s="125" t="s">
        <v>125</v>
      </c>
      <c r="D7" s="126">
        <v>6400000</v>
      </c>
      <c r="E7" s="125" t="s">
        <v>125</v>
      </c>
      <c r="F7" s="126">
        <v>6600000</v>
      </c>
    </row>
    <row r="8" spans="1:14">
      <c r="A8" s="125" t="s">
        <v>129</v>
      </c>
      <c r="B8" s="126">
        <v>6500000</v>
      </c>
      <c r="C8" s="125" t="s">
        <v>126</v>
      </c>
      <c r="D8" s="126">
        <v>6700000</v>
      </c>
      <c r="E8" s="125" t="s">
        <v>129</v>
      </c>
      <c r="F8" s="126">
        <v>6900000</v>
      </c>
    </row>
    <row r="9" spans="1:14">
      <c r="A9" s="125" t="s">
        <v>127</v>
      </c>
      <c r="B9" s="126">
        <v>6700000</v>
      </c>
      <c r="C9" s="125" t="s">
        <v>127</v>
      </c>
      <c r="D9" s="126">
        <v>6900000</v>
      </c>
      <c r="E9" s="125" t="s">
        <v>127</v>
      </c>
      <c r="F9" s="126">
        <v>7100000</v>
      </c>
    </row>
    <row r="10" spans="1:14">
      <c r="A10" s="125" t="s">
        <v>128</v>
      </c>
      <c r="B10" s="126">
        <v>6900000</v>
      </c>
      <c r="C10" s="125" t="s">
        <v>128</v>
      </c>
      <c r="D10" s="126">
        <v>7100000</v>
      </c>
      <c r="E10" s="125" t="s">
        <v>128</v>
      </c>
      <c r="F10" s="126">
        <v>7300000</v>
      </c>
    </row>
    <row r="11" spans="1:14">
      <c r="A11" s="127"/>
      <c r="B11" s="129"/>
      <c r="C11" s="127"/>
      <c r="D11" s="123"/>
      <c r="E11" s="127"/>
      <c r="F11" s="129"/>
    </row>
    <row r="12" spans="1:14">
      <c r="A12" s="127"/>
      <c r="B12" s="129"/>
      <c r="C12" s="116"/>
      <c r="D12" s="116"/>
      <c r="E12" s="130"/>
      <c r="F12" s="131"/>
    </row>
    <row r="13" spans="1:14">
      <c r="A13" s="153" t="s">
        <v>158</v>
      </c>
      <c r="B13" s="154"/>
      <c r="C13" s="154"/>
      <c r="D13" s="154"/>
      <c r="E13" s="154"/>
      <c r="F13" s="155"/>
    </row>
    <row r="14" spans="1:14">
      <c r="A14" s="148" t="s">
        <v>123</v>
      </c>
      <c r="B14" s="149"/>
      <c r="C14" s="148" t="s">
        <v>124</v>
      </c>
      <c r="D14" s="149"/>
      <c r="E14" s="148" t="s">
        <v>69</v>
      </c>
      <c r="F14" s="149"/>
    </row>
    <row r="15" spans="1:14">
      <c r="A15" s="121" t="s">
        <v>75</v>
      </c>
      <c r="B15" s="121" t="s">
        <v>67</v>
      </c>
      <c r="C15" s="121" t="s">
        <v>75</v>
      </c>
      <c r="D15" s="121" t="s">
        <v>67</v>
      </c>
      <c r="E15" s="121" t="s">
        <v>75</v>
      </c>
      <c r="F15" s="124" t="s">
        <v>67</v>
      </c>
    </row>
    <row r="16" spans="1:14">
      <c r="A16" s="125" t="s">
        <v>125</v>
      </c>
      <c r="B16" s="126">
        <v>6500000</v>
      </c>
      <c r="C16" s="125" t="s">
        <v>125</v>
      </c>
      <c r="D16" s="126">
        <v>6750000</v>
      </c>
      <c r="E16" s="125" t="s">
        <v>125</v>
      </c>
      <c r="F16" s="126">
        <v>6900000</v>
      </c>
    </row>
    <row r="17" spans="1:6">
      <c r="A17" s="125" t="s">
        <v>129</v>
      </c>
      <c r="B17" s="126">
        <v>6800000</v>
      </c>
      <c r="C17" s="125" t="s">
        <v>126</v>
      </c>
      <c r="D17" s="126">
        <v>7050000</v>
      </c>
      <c r="E17" s="125" t="s">
        <v>129</v>
      </c>
      <c r="F17" s="126">
        <v>7300000</v>
      </c>
    </row>
    <row r="18" spans="1:6">
      <c r="A18" s="125" t="s">
        <v>127</v>
      </c>
      <c r="B18" s="126">
        <v>7000000</v>
      </c>
      <c r="C18" s="125" t="s">
        <v>127</v>
      </c>
      <c r="D18" s="126">
        <v>7300000</v>
      </c>
      <c r="E18" s="125" t="s">
        <v>127</v>
      </c>
      <c r="F18" s="126">
        <v>7550000</v>
      </c>
    </row>
    <row r="19" spans="1:6">
      <c r="A19" s="125" t="s">
        <v>128</v>
      </c>
      <c r="B19" s="126">
        <v>7300000</v>
      </c>
      <c r="C19" s="125" t="s">
        <v>128</v>
      </c>
      <c r="D19" s="126">
        <v>7550000</v>
      </c>
      <c r="E19" s="125" t="s">
        <v>128</v>
      </c>
      <c r="F19" s="126">
        <v>7700000</v>
      </c>
    </row>
    <row r="22" spans="1:6">
      <c r="A22" t="s">
        <v>159</v>
      </c>
    </row>
    <row r="23" spans="1:6">
      <c r="A23" t="s">
        <v>160</v>
      </c>
    </row>
    <row r="24" spans="1:6">
      <c r="A24" t="s">
        <v>161</v>
      </c>
    </row>
    <row r="25" spans="1:6">
      <c r="A25" t="s">
        <v>162</v>
      </c>
    </row>
    <row r="26" spans="1:6">
      <c r="A26" t="s">
        <v>164</v>
      </c>
    </row>
    <row r="27" spans="1:6">
      <c r="A27" t="s">
        <v>165</v>
      </c>
    </row>
    <row r="28" spans="1:6">
      <c r="A28" t="s">
        <v>166</v>
      </c>
    </row>
    <row r="29" spans="1:6">
      <c r="A29" t="s">
        <v>167</v>
      </c>
    </row>
    <row r="32" spans="1:6" ht="21">
      <c r="A32" s="151" t="s">
        <v>168</v>
      </c>
      <c r="B32" s="151"/>
      <c r="C32" s="151"/>
      <c r="D32" s="151"/>
      <c r="E32" s="151"/>
      <c r="F32" s="151"/>
    </row>
    <row r="34" spans="1:7">
      <c r="A34" s="158" t="s">
        <v>169</v>
      </c>
      <c r="B34" s="158"/>
      <c r="C34" s="158"/>
      <c r="D34" s="158"/>
      <c r="E34" s="158"/>
      <c r="F34" s="158"/>
    </row>
    <row r="35" spans="1:7">
      <c r="A35" s="148" t="s">
        <v>123</v>
      </c>
      <c r="B35" s="149"/>
      <c r="C35" s="148" t="s">
        <v>124</v>
      </c>
      <c r="D35" s="149"/>
      <c r="E35" s="148" t="s">
        <v>69</v>
      </c>
      <c r="F35" s="149"/>
    </row>
    <row r="36" spans="1:7">
      <c r="A36" s="121" t="s">
        <v>75</v>
      </c>
      <c r="B36" s="121" t="s">
        <v>67</v>
      </c>
      <c r="C36" s="121" t="s">
        <v>75</v>
      </c>
      <c r="D36" s="121" t="s">
        <v>67</v>
      </c>
      <c r="E36" s="121" t="s">
        <v>75</v>
      </c>
      <c r="F36" s="124" t="s">
        <v>67</v>
      </c>
    </row>
    <row r="37" spans="1:7">
      <c r="A37" s="125" t="s">
        <v>125</v>
      </c>
      <c r="B37" s="126">
        <v>3900000</v>
      </c>
      <c r="C37" s="125" t="s">
        <v>125</v>
      </c>
      <c r="D37" s="126">
        <v>4100000</v>
      </c>
      <c r="E37" s="125" t="s">
        <v>125</v>
      </c>
      <c r="F37" s="126">
        <v>4300000</v>
      </c>
    </row>
    <row r="38" spans="1:7">
      <c r="A38" s="125" t="s">
        <v>129</v>
      </c>
      <c r="B38" s="126">
        <v>4100000</v>
      </c>
      <c r="C38" s="125" t="s">
        <v>126</v>
      </c>
      <c r="D38" s="126">
        <v>4300000</v>
      </c>
      <c r="E38" s="125" t="s">
        <v>129</v>
      </c>
      <c r="F38" s="126">
        <v>4500000</v>
      </c>
    </row>
    <row r="39" spans="1:7">
      <c r="A39" s="125" t="s">
        <v>127</v>
      </c>
      <c r="B39" s="126">
        <v>4300000</v>
      </c>
      <c r="C39" s="125" t="s">
        <v>127</v>
      </c>
      <c r="D39" s="126">
        <v>4500000</v>
      </c>
      <c r="E39" s="125" t="s">
        <v>127</v>
      </c>
      <c r="F39" s="126">
        <v>4700000</v>
      </c>
    </row>
    <row r="40" spans="1:7">
      <c r="A40" s="125" t="s">
        <v>128</v>
      </c>
      <c r="B40" s="126">
        <v>4500000</v>
      </c>
      <c r="C40" s="125" t="s">
        <v>128</v>
      </c>
      <c r="D40" s="126">
        <v>4700000</v>
      </c>
      <c r="E40" s="125" t="s">
        <v>128</v>
      </c>
      <c r="F40" s="126">
        <v>4900000</v>
      </c>
    </row>
    <row r="42" spans="1:7">
      <c r="B42" s="281" t="s">
        <v>170</v>
      </c>
      <c r="C42" s="280"/>
      <c r="D42" s="280"/>
      <c r="E42" s="280"/>
      <c r="F42" s="280"/>
      <c r="G42" s="280"/>
    </row>
    <row r="44" spans="1:7">
      <c r="A44" s="158" t="s">
        <v>158</v>
      </c>
      <c r="B44" s="158"/>
      <c r="C44" s="158"/>
      <c r="D44" s="158"/>
      <c r="E44" s="158"/>
      <c r="F44" s="158"/>
    </row>
    <row r="45" spans="1:7">
      <c r="A45" s="148" t="s">
        <v>123</v>
      </c>
      <c r="B45" s="149"/>
      <c r="C45" s="148" t="s">
        <v>124</v>
      </c>
      <c r="D45" s="149"/>
      <c r="E45" s="148" t="s">
        <v>69</v>
      </c>
      <c r="F45" s="149"/>
    </row>
    <row r="46" spans="1:7">
      <c r="A46" s="121" t="s">
        <v>75</v>
      </c>
      <c r="B46" s="121" t="s">
        <v>67</v>
      </c>
      <c r="C46" s="121" t="s">
        <v>75</v>
      </c>
      <c r="D46" s="121" t="s">
        <v>67</v>
      </c>
      <c r="E46" s="121" t="s">
        <v>75</v>
      </c>
      <c r="F46" s="124" t="s">
        <v>67</v>
      </c>
    </row>
    <row r="47" spans="1:7">
      <c r="A47" s="125" t="s">
        <v>125</v>
      </c>
      <c r="B47" s="126">
        <v>3400000</v>
      </c>
      <c r="C47" s="125" t="s">
        <v>125</v>
      </c>
      <c r="D47" s="126">
        <v>3550000</v>
      </c>
      <c r="E47" s="125" t="s">
        <v>125</v>
      </c>
      <c r="F47" s="126">
        <v>3700000</v>
      </c>
    </row>
    <row r="48" spans="1:7">
      <c r="A48" s="125" t="s">
        <v>129</v>
      </c>
      <c r="B48" s="126">
        <v>3550000</v>
      </c>
      <c r="C48" s="125" t="s">
        <v>126</v>
      </c>
      <c r="D48" s="126">
        <v>3700000</v>
      </c>
      <c r="E48" s="125" t="s">
        <v>129</v>
      </c>
      <c r="F48" s="126">
        <v>3950000</v>
      </c>
    </row>
    <row r="49" spans="1:12">
      <c r="A49" s="125" t="s">
        <v>127</v>
      </c>
      <c r="B49" s="126">
        <v>3700000</v>
      </c>
      <c r="C49" s="125" t="s">
        <v>127</v>
      </c>
      <c r="D49" s="126">
        <v>3950000</v>
      </c>
      <c r="E49" s="125" t="s">
        <v>127</v>
      </c>
      <c r="F49" s="126">
        <v>4100000</v>
      </c>
    </row>
    <row r="50" spans="1:12">
      <c r="A50" s="125" t="s">
        <v>128</v>
      </c>
      <c r="B50" s="126">
        <v>3950000</v>
      </c>
      <c r="C50" s="125" t="s">
        <v>128</v>
      </c>
      <c r="D50" s="126">
        <v>4100000</v>
      </c>
      <c r="E50" s="125" t="s">
        <v>128</v>
      </c>
      <c r="F50" s="136">
        <v>4250000</v>
      </c>
    </row>
    <row r="52" spans="1:12">
      <c r="A52" t="s">
        <v>171</v>
      </c>
    </row>
    <row r="53" spans="1:12">
      <c r="A53" t="s">
        <v>172</v>
      </c>
    </row>
    <row r="54" spans="1:12">
      <c r="A54" t="s">
        <v>173</v>
      </c>
    </row>
    <row r="55" spans="1:12">
      <c r="A55" t="s">
        <v>174</v>
      </c>
    </row>
    <row r="56" spans="1:12">
      <c r="A56" t="s">
        <v>175</v>
      </c>
    </row>
    <row r="57" spans="1:12">
      <c r="A57" t="s">
        <v>152</v>
      </c>
    </row>
    <row r="59" spans="1:12" ht="18.75">
      <c r="A59" s="282" t="s">
        <v>176</v>
      </c>
      <c r="B59" s="283"/>
      <c r="C59" s="283"/>
      <c r="D59" s="283"/>
      <c r="E59" s="283"/>
      <c r="F59" s="283"/>
      <c r="G59" s="148" t="s">
        <v>123</v>
      </c>
      <c r="H59" s="149"/>
      <c r="I59" s="148" t="s">
        <v>124</v>
      </c>
      <c r="J59" s="149"/>
      <c r="K59" s="148" t="s">
        <v>69</v>
      </c>
      <c r="L59" s="149"/>
    </row>
    <row r="60" spans="1:12" ht="15.75">
      <c r="A60" s="164" t="s">
        <v>177</v>
      </c>
      <c r="B60" s="165"/>
      <c r="C60" s="165"/>
      <c r="D60" s="165"/>
      <c r="E60" s="165"/>
      <c r="F60" s="166"/>
      <c r="G60" s="162">
        <v>1400000</v>
      </c>
      <c r="H60" s="163"/>
      <c r="I60" s="162">
        <v>1500000</v>
      </c>
      <c r="J60" s="163"/>
      <c r="K60" s="162">
        <v>1600000</v>
      </c>
      <c r="L60" s="163"/>
    </row>
    <row r="61" spans="1:12" ht="15.75">
      <c r="A61" s="173" t="s">
        <v>178</v>
      </c>
      <c r="B61" s="174"/>
      <c r="C61" s="174"/>
      <c r="D61" s="174"/>
      <c r="E61" s="174"/>
      <c r="F61" s="175"/>
      <c r="G61" s="159">
        <v>1600000</v>
      </c>
      <c r="H61" s="160"/>
      <c r="I61" s="159">
        <v>1700000</v>
      </c>
      <c r="J61" s="160"/>
      <c r="K61" s="159">
        <v>1800000</v>
      </c>
      <c r="L61" s="160"/>
    </row>
    <row r="62" spans="1:12" ht="15.75">
      <c r="A62" s="170" t="s">
        <v>179</v>
      </c>
      <c r="B62" s="171"/>
      <c r="C62" s="171"/>
      <c r="D62" s="171"/>
      <c r="E62" s="171"/>
      <c r="F62" s="172"/>
      <c r="G62" s="162">
        <v>1400000</v>
      </c>
      <c r="H62" s="163"/>
      <c r="I62" s="162">
        <v>1500000</v>
      </c>
      <c r="J62" s="163"/>
      <c r="K62" s="162">
        <v>1600000</v>
      </c>
      <c r="L62" s="163"/>
    </row>
    <row r="63" spans="1:12">
      <c r="A63" t="s">
        <v>180</v>
      </c>
      <c r="G63" s="28"/>
      <c r="H63" s="28"/>
    </row>
    <row r="64" spans="1:12">
      <c r="A64" t="s">
        <v>172</v>
      </c>
      <c r="G64" s="28"/>
      <c r="H64" s="28"/>
    </row>
    <row r="65" spans="1:8">
      <c r="A65" t="s">
        <v>181</v>
      </c>
      <c r="G65" s="28"/>
      <c r="H65" s="28"/>
    </row>
    <row r="66" spans="1:8">
      <c r="A66" t="s">
        <v>182</v>
      </c>
    </row>
    <row r="67" spans="1:8">
      <c r="A67" t="s">
        <v>183</v>
      </c>
    </row>
    <row r="68" spans="1:8">
      <c r="A68" t="s">
        <v>152</v>
      </c>
    </row>
  </sheetData>
  <mergeCells count="34">
    <mergeCell ref="A61:F61"/>
    <mergeCell ref="G61:H61"/>
    <mergeCell ref="I61:J61"/>
    <mergeCell ref="K61:L61"/>
    <mergeCell ref="A62:F62"/>
    <mergeCell ref="G62:H62"/>
    <mergeCell ref="I62:J62"/>
    <mergeCell ref="K62:L62"/>
    <mergeCell ref="G59:H59"/>
    <mergeCell ref="I59:J59"/>
    <mergeCell ref="K59:L59"/>
    <mergeCell ref="A60:F60"/>
    <mergeCell ref="G60:H60"/>
    <mergeCell ref="I60:J60"/>
    <mergeCell ref="K60:L60"/>
    <mergeCell ref="A44:F44"/>
    <mergeCell ref="A45:B45"/>
    <mergeCell ref="C45:D45"/>
    <mergeCell ref="E45:F45"/>
    <mergeCell ref="A59:F59"/>
    <mergeCell ref="A14:B14"/>
    <mergeCell ref="C14:D14"/>
    <mergeCell ref="E14:F14"/>
    <mergeCell ref="A32:F32"/>
    <mergeCell ref="A34:F34"/>
    <mergeCell ref="A35:B35"/>
    <mergeCell ref="C35:D35"/>
    <mergeCell ref="E35:F35"/>
    <mergeCell ref="A4:F4"/>
    <mergeCell ref="A5:B5"/>
    <mergeCell ref="C5:D5"/>
    <mergeCell ref="E5:F5"/>
    <mergeCell ref="A13:F13"/>
    <mergeCell ref="A2:F2"/>
  </mergeCells>
  <hyperlinks>
    <hyperlink ref="A1" r:id="rId1"/>
  </hyperlinks>
  <pageMargins left="0.7" right="0.7" top="0.75" bottom="0.75" header="0.3" footer="0.3"/>
  <pageSetup paperSize="9" scale="64" fitToHeight="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ворота откатка без автоматики</vt:lpstr>
      <vt:lpstr>ворота распашка с разной себест</vt:lpstr>
      <vt:lpstr>Штакетник 09,03,2015</vt:lpstr>
      <vt:lpstr>рассчет</vt:lpstr>
      <vt:lpstr>Лист2</vt:lpstr>
      <vt:lpstr>КАРКАС</vt:lpstr>
      <vt:lpstr>'ворота откатка без автоматики'!Область_печати</vt:lpstr>
      <vt:lpstr>'ворота распашка с разной себест'!Область_печати</vt:lpstr>
      <vt:lpstr>'Штакетник 09,03,2015'!Область_печати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2015-03-10T15:14:24Z</cp:lastPrinted>
  <dcterms:created xsi:type="dcterms:W3CDTF">2012-10-13T08:29:28Z</dcterms:created>
  <dcterms:modified xsi:type="dcterms:W3CDTF">2015-03-10T15:15:26Z</dcterms:modified>
</cp:coreProperties>
</file>